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grupa 1" sheetId="1" r:id="rId1"/>
    <sheet name="grupa 2" sheetId="2" r:id="rId2"/>
    <sheet name="grupa 3" sheetId="3" r:id="rId3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76" i="3" l="1"/>
  <c r="H770" i="3"/>
  <c r="H767" i="3"/>
  <c r="H766" i="3" s="1"/>
  <c r="H765" i="3" s="1"/>
  <c r="H764" i="3" s="1"/>
  <c r="H762" i="3"/>
  <c r="H759" i="3" s="1"/>
  <c r="H758" i="3"/>
  <c r="H745" i="3"/>
  <c r="H744" i="3"/>
  <c r="H741" i="3"/>
  <c r="H736" i="3" s="1"/>
  <c r="H778" i="2"/>
  <c r="H772" i="2"/>
  <c r="H769" i="2"/>
  <c r="H768" i="2" s="1"/>
  <c r="H767" i="2" s="1"/>
  <c r="H766" i="2" s="1"/>
  <c r="H761" i="2"/>
  <c r="H764" i="2"/>
  <c r="H760" i="2"/>
  <c r="H747" i="2"/>
  <c r="H746" i="2"/>
  <c r="H743" i="2"/>
  <c r="H738" i="2" s="1"/>
  <c r="I724" i="1"/>
  <c r="I721" i="1"/>
  <c r="I720" i="1" s="1"/>
  <c r="I719" i="1" s="1"/>
  <c r="I718" i="1" s="1"/>
  <c r="I716" i="1"/>
  <c r="I713" i="1" s="1"/>
  <c r="I712" i="1"/>
  <c r="I709" i="1"/>
  <c r="I708" i="1" s="1"/>
  <c r="I698" i="1"/>
  <c r="I699" i="1"/>
  <c r="I695" i="1"/>
  <c r="I690" i="1" s="1"/>
  <c r="C670" i="3" l="1"/>
  <c r="D680" i="3" s="1"/>
  <c r="I663" i="3"/>
  <c r="C681" i="3" s="1"/>
  <c r="C663" i="3"/>
  <c r="H649" i="3"/>
  <c r="D678" i="3" s="1"/>
  <c r="D649" i="3"/>
  <c r="I634" i="3"/>
  <c r="C678" i="3" s="1"/>
  <c r="C619" i="3"/>
  <c r="D677" i="3" s="1"/>
  <c r="H623" i="1"/>
  <c r="G623" i="1"/>
  <c r="C615" i="1"/>
  <c r="H622" i="1"/>
  <c r="I622" i="1" s="1"/>
  <c r="G622" i="1"/>
  <c r="C622" i="1"/>
  <c r="D634" i="1" s="1"/>
  <c r="I615" i="1"/>
  <c r="C635" i="1" s="1"/>
  <c r="D607" i="1"/>
  <c r="C634" i="1" s="1"/>
  <c r="H599" i="1"/>
  <c r="D632" i="1" s="1"/>
  <c r="D599" i="1"/>
  <c r="C633" i="1" s="1"/>
  <c r="I583" i="1"/>
  <c r="C632" i="1" s="1"/>
  <c r="C567" i="1"/>
  <c r="D631" i="1" s="1"/>
  <c r="D679" i="3"/>
  <c r="C679" i="3"/>
  <c r="E556" i="1"/>
  <c r="J548" i="1"/>
  <c r="B540" i="1"/>
  <c r="H540" i="1"/>
  <c r="H541" i="1" s="1"/>
  <c r="G540" i="1"/>
  <c r="D633" i="1" l="1"/>
  <c r="I540" i="1"/>
  <c r="G671" i="3"/>
  <c r="H671" i="3"/>
  <c r="G670" i="3"/>
  <c r="H670" i="3"/>
  <c r="J628" i="3"/>
  <c r="I628" i="3"/>
  <c r="G621" i="3"/>
  <c r="H621" i="3"/>
  <c r="G656" i="3"/>
  <c r="D656" i="3"/>
  <c r="H656" i="3" s="1"/>
  <c r="G620" i="3"/>
  <c r="H620" i="3"/>
  <c r="E642" i="3"/>
  <c r="G642" i="3" s="1"/>
  <c r="D642" i="3"/>
  <c r="H642" i="3" s="1"/>
  <c r="G641" i="3"/>
  <c r="E641" i="3"/>
  <c r="D641" i="3"/>
  <c r="H641" i="3" s="1"/>
  <c r="B634" i="3"/>
  <c r="C634" i="3"/>
  <c r="E627" i="3"/>
  <c r="G619" i="3"/>
  <c r="H619" i="3"/>
  <c r="D627" i="3" s="1"/>
  <c r="G579" i="3"/>
  <c r="J603" i="3"/>
  <c r="E595" i="3"/>
  <c r="B595" i="3"/>
  <c r="C595" i="3"/>
  <c r="H595" i="3" s="1"/>
  <c r="D595" i="3" s="1"/>
  <c r="B587" i="3"/>
  <c r="D579" i="3"/>
  <c r="C587" i="3" s="1"/>
  <c r="C603" i="3" s="1"/>
  <c r="J579" i="3"/>
  <c r="I579" i="3"/>
  <c r="C672" i="2"/>
  <c r="D682" i="2" s="1"/>
  <c r="I665" i="2"/>
  <c r="C683" i="2" s="1"/>
  <c r="C665" i="2"/>
  <c r="D681" i="2" s="1"/>
  <c r="H651" i="2"/>
  <c r="D680" i="2" s="1"/>
  <c r="D651" i="2"/>
  <c r="C681" i="2" s="1"/>
  <c r="I637" i="2"/>
  <c r="C680" i="2" s="1"/>
  <c r="C623" i="2"/>
  <c r="D679" i="2" s="1"/>
  <c r="G673" i="2"/>
  <c r="H673" i="2"/>
  <c r="G672" i="2"/>
  <c r="H672" i="2"/>
  <c r="J631" i="2"/>
  <c r="I631" i="2"/>
  <c r="B632" i="2"/>
  <c r="C632" i="2"/>
  <c r="G658" i="2"/>
  <c r="H658" i="2"/>
  <c r="B631" i="2"/>
  <c r="C631" i="2"/>
  <c r="E645" i="2"/>
  <c r="G645" i="2" s="1"/>
  <c r="D645" i="2"/>
  <c r="H645" i="2" s="1"/>
  <c r="G644" i="2"/>
  <c r="E644" i="2"/>
  <c r="D644" i="2"/>
  <c r="H644" i="2" s="1"/>
  <c r="B637" i="2"/>
  <c r="C637" i="2"/>
  <c r="B630" i="2"/>
  <c r="J623" i="2"/>
  <c r="I623" i="2"/>
  <c r="C630" i="2" s="1"/>
  <c r="E615" i="2"/>
  <c r="J608" i="2"/>
  <c r="E601" i="2"/>
  <c r="D601" i="2"/>
  <c r="B601" i="2"/>
  <c r="C601" i="2"/>
  <c r="B594" i="2"/>
  <c r="D587" i="2"/>
  <c r="C594" i="2" s="1"/>
  <c r="C608" i="2" s="1"/>
  <c r="J587" i="2"/>
  <c r="I587" i="2"/>
  <c r="J576" i="1"/>
  <c r="I576" i="1"/>
  <c r="B577" i="1"/>
  <c r="C577" i="1"/>
  <c r="J607" i="1"/>
  <c r="B576" i="1"/>
  <c r="C576" i="1"/>
  <c r="E592" i="1"/>
  <c r="G592" i="1" s="1"/>
  <c r="D592" i="1"/>
  <c r="H592" i="1" s="1"/>
  <c r="G591" i="1"/>
  <c r="E591" i="1"/>
  <c r="D591" i="1"/>
  <c r="H591" i="1" s="1"/>
  <c r="B583" i="1"/>
  <c r="C583" i="1"/>
  <c r="B575" i="1"/>
  <c r="I567" i="1"/>
  <c r="C575" i="1" s="1"/>
  <c r="J567" i="1"/>
  <c r="B532" i="1"/>
  <c r="D524" i="1"/>
  <c r="C532" i="1" s="1"/>
  <c r="J524" i="1"/>
  <c r="I524" i="1"/>
  <c r="C548" i="1" s="1"/>
  <c r="H564" i="3"/>
  <c r="C571" i="3"/>
  <c r="B565" i="3"/>
  <c r="C564" i="3"/>
  <c r="C557" i="3"/>
  <c r="I550" i="3" s="1"/>
  <c r="B557" i="3"/>
  <c r="J550" i="3" s="1"/>
  <c r="C556" i="3"/>
  <c r="C549" i="3"/>
  <c r="I549" i="3" s="1"/>
  <c r="B549" i="3"/>
  <c r="J549" i="3" s="1"/>
  <c r="C548" i="3"/>
  <c r="C541" i="3"/>
  <c r="I557" i="3" s="1"/>
  <c r="B541" i="3"/>
  <c r="J541" i="3" s="1"/>
  <c r="C540" i="3"/>
  <c r="D535" i="3"/>
  <c r="F495" i="3"/>
  <c r="I509" i="3" s="1"/>
  <c r="F502" i="3"/>
  <c r="D509" i="3" s="1"/>
  <c r="D495" i="3"/>
  <c r="B495" i="3"/>
  <c r="A502" i="3"/>
  <c r="A495" i="3"/>
  <c r="I495" i="3" s="1"/>
  <c r="H489" i="3"/>
  <c r="B502" i="3" s="1"/>
  <c r="G502" i="3" s="1"/>
  <c r="B572" i="2"/>
  <c r="C578" i="2"/>
  <c r="H571" i="2"/>
  <c r="C571" i="2"/>
  <c r="B564" i="2"/>
  <c r="J557" i="2" s="1"/>
  <c r="C564" i="2"/>
  <c r="I557" i="2" s="1"/>
  <c r="C563" i="2"/>
  <c r="C556" i="2"/>
  <c r="I556" i="2" s="1"/>
  <c r="B556" i="2"/>
  <c r="J556" i="2" s="1"/>
  <c r="C555" i="2"/>
  <c r="C547" i="2"/>
  <c r="B548" i="2"/>
  <c r="J548" i="2" s="1"/>
  <c r="C548" i="2"/>
  <c r="I564" i="2" s="1"/>
  <c r="D542" i="2"/>
  <c r="G510" i="2"/>
  <c r="J524" i="2" s="1"/>
  <c r="G517" i="2"/>
  <c r="E524" i="2" s="1"/>
  <c r="B517" i="2"/>
  <c r="E510" i="2" s="1"/>
  <c r="B510" i="2"/>
  <c r="J510" i="2" s="1"/>
  <c r="C510" i="2"/>
  <c r="I510" i="2" s="1"/>
  <c r="H505" i="2"/>
  <c r="C517" i="2" s="1"/>
  <c r="H517" i="2" s="1"/>
  <c r="C514" i="1"/>
  <c r="H506" i="1"/>
  <c r="C507" i="1"/>
  <c r="C506" i="1"/>
  <c r="B498" i="1"/>
  <c r="J491" i="1" s="1"/>
  <c r="C498" i="1"/>
  <c r="I491" i="1" s="1"/>
  <c r="B490" i="1"/>
  <c r="J490" i="1" s="1"/>
  <c r="C490" i="1"/>
  <c r="I490" i="1" s="1"/>
  <c r="B482" i="1"/>
  <c r="J482" i="1" s="1"/>
  <c r="C482" i="1"/>
  <c r="I482" i="1" s="1"/>
  <c r="D476" i="1"/>
  <c r="J455" i="1"/>
  <c r="E455" i="1"/>
  <c r="E439" i="1"/>
  <c r="J439" i="1"/>
  <c r="C439" i="1"/>
  <c r="I439" i="1" s="1"/>
  <c r="H434" i="1"/>
  <c r="H447" i="1" s="1"/>
  <c r="C474" i="3"/>
  <c r="G447" i="3"/>
  <c r="E460" i="3" s="1"/>
  <c r="G446" i="3"/>
  <c r="J455" i="3" s="1"/>
  <c r="G445" i="3"/>
  <c r="J454" i="3" s="1"/>
  <c r="B453" i="3"/>
  <c r="J453" i="3" s="1"/>
  <c r="B445" i="3"/>
  <c r="J445" i="3" s="1"/>
  <c r="C445" i="3"/>
  <c r="I445" i="3" s="1"/>
  <c r="I448" i="3" s="1"/>
  <c r="D427" i="3"/>
  <c r="D426" i="3"/>
  <c r="D425" i="3"/>
  <c r="D422" i="3"/>
  <c r="D421" i="3"/>
  <c r="D420" i="3"/>
  <c r="D419" i="3"/>
  <c r="D418" i="3"/>
  <c r="C235" i="1"/>
  <c r="B258" i="1"/>
  <c r="E251" i="1"/>
  <c r="I250" i="1"/>
  <c r="C258" i="1" s="1"/>
  <c r="D250" i="1"/>
  <c r="H237" i="1" s="1"/>
  <c r="J244" i="1"/>
  <c r="J243" i="1"/>
  <c r="D243" i="1"/>
  <c r="C243" i="1"/>
  <c r="B243" i="1"/>
  <c r="J242" i="1"/>
  <c r="E242" i="1"/>
  <c r="C242" i="1"/>
  <c r="D242" i="1" s="1"/>
  <c r="G237" i="1"/>
  <c r="G236" i="1"/>
  <c r="H235" i="1"/>
  <c r="D235" i="1"/>
  <c r="B235" i="1"/>
  <c r="J234" i="1"/>
  <c r="D234" i="1"/>
  <c r="C234" i="1"/>
  <c r="I234" i="1" s="1"/>
  <c r="D266" i="1"/>
  <c r="E266" i="1"/>
  <c r="G266" i="1"/>
  <c r="I266" i="1"/>
  <c r="H266" i="1" s="1"/>
  <c r="J266" i="1"/>
  <c r="E386" i="1"/>
  <c r="E387" i="1"/>
  <c r="E385" i="1"/>
  <c r="E382" i="1"/>
  <c r="E381" i="1"/>
  <c r="E379" i="1"/>
  <c r="E380" i="1"/>
  <c r="E378" i="1"/>
  <c r="C490" i="2"/>
  <c r="G460" i="2"/>
  <c r="E475" i="2" s="1"/>
  <c r="G459" i="2"/>
  <c r="J469" i="2" s="1"/>
  <c r="G458" i="2"/>
  <c r="J468" i="2" s="1"/>
  <c r="B467" i="2"/>
  <c r="J467" i="2" s="1"/>
  <c r="J458" i="2"/>
  <c r="B458" i="2" s="1"/>
  <c r="I458" i="2"/>
  <c r="I461" i="2" s="1"/>
  <c r="D440" i="2"/>
  <c r="D439" i="2"/>
  <c r="D438" i="2"/>
  <c r="D435" i="2"/>
  <c r="D434" i="2"/>
  <c r="D433" i="2"/>
  <c r="D432" i="2"/>
  <c r="D431" i="2"/>
  <c r="I656" i="3" l="1"/>
  <c r="C680" i="3" s="1"/>
  <c r="H755" i="3"/>
  <c r="H754" i="3" s="1"/>
  <c r="D634" i="3"/>
  <c r="C677" i="3" s="1"/>
  <c r="H752" i="3"/>
  <c r="H742" i="3" s="1"/>
  <c r="H753" i="3" s="1"/>
  <c r="I658" i="2"/>
  <c r="C682" i="2" s="1"/>
  <c r="H757" i="2"/>
  <c r="H756" i="2" s="1"/>
  <c r="D637" i="2"/>
  <c r="C679" i="2" s="1"/>
  <c r="D683" i="2" s="1"/>
  <c r="I679" i="2" s="1"/>
  <c r="H754" i="2"/>
  <c r="H744" i="2" s="1"/>
  <c r="H755" i="2" s="1"/>
  <c r="H565" i="3"/>
  <c r="C572" i="3"/>
  <c r="C565" i="3"/>
  <c r="H502" i="3"/>
  <c r="B516" i="3" s="1"/>
  <c r="B517" i="3" s="1"/>
  <c r="G495" i="3"/>
  <c r="H509" i="3" s="1"/>
  <c r="G509" i="3" s="1"/>
  <c r="C516" i="3" s="1"/>
  <c r="C517" i="3" s="1"/>
  <c r="C509" i="3"/>
  <c r="D610" i="3"/>
  <c r="H579" i="3" s="1"/>
  <c r="I603" i="3"/>
  <c r="D583" i="1"/>
  <c r="C631" i="1" s="1"/>
  <c r="D635" i="1" s="1"/>
  <c r="I631" i="1" s="1"/>
  <c r="I706" i="1"/>
  <c r="I696" i="1" s="1"/>
  <c r="I707" i="1" s="1"/>
  <c r="I717" i="1" s="1"/>
  <c r="I737" i="1" s="1"/>
  <c r="I242" i="1"/>
  <c r="H250" i="1"/>
  <c r="D251" i="1" s="1"/>
  <c r="H236" i="1"/>
  <c r="I548" i="1"/>
  <c r="H524" i="1"/>
  <c r="D556" i="1" s="1"/>
  <c r="I244" i="1"/>
  <c r="I498" i="1"/>
  <c r="C515" i="1" s="1"/>
  <c r="C540" i="1"/>
  <c r="I541" i="1"/>
  <c r="I542" i="1" s="1"/>
  <c r="D455" i="1"/>
  <c r="H439" i="1"/>
  <c r="I455" i="1" s="1"/>
  <c r="C447" i="1"/>
  <c r="D439" i="1" s="1"/>
  <c r="C579" i="2"/>
  <c r="H572" i="2"/>
  <c r="C572" i="2"/>
  <c r="I608" i="2"/>
  <c r="H587" i="2"/>
  <c r="D615" i="2" s="1"/>
  <c r="I548" i="2"/>
  <c r="I541" i="3"/>
  <c r="C491" i="2"/>
  <c r="C492" i="2" s="1"/>
  <c r="D524" i="2"/>
  <c r="I524" i="2"/>
  <c r="H510" i="2" s="1"/>
  <c r="D510" i="2"/>
  <c r="F231" i="1"/>
  <c r="E388" i="1"/>
  <c r="F388" i="1" s="1"/>
  <c r="E383" i="1"/>
  <c r="E375" i="1" s="1"/>
  <c r="C458" i="2"/>
  <c r="D441" i="2"/>
  <c r="H458" i="2" s="1"/>
  <c r="D436" i="2"/>
  <c r="C467" i="2" s="1"/>
  <c r="I467" i="2" s="1"/>
  <c r="G407" i="1"/>
  <c r="E418" i="1" s="1"/>
  <c r="G406" i="1"/>
  <c r="J414" i="1" s="1"/>
  <c r="G405" i="1"/>
  <c r="J413" i="1" s="1"/>
  <c r="J412" i="1"/>
  <c r="B412" i="1" s="1"/>
  <c r="J405" i="1"/>
  <c r="B405" i="1" s="1"/>
  <c r="I405" i="1"/>
  <c r="C405" i="1" s="1"/>
  <c r="G404" i="3"/>
  <c r="G410" i="3"/>
  <c r="J410" i="3" s="1"/>
  <c r="B410" i="3"/>
  <c r="J398" i="3"/>
  <c r="J404" i="3" s="1"/>
  <c r="I398" i="3"/>
  <c r="B398" i="3"/>
  <c r="B392" i="3"/>
  <c r="B393" i="3"/>
  <c r="B394" i="3"/>
  <c r="B391" i="3"/>
  <c r="B390" i="3"/>
  <c r="J368" i="3"/>
  <c r="B374" i="3"/>
  <c r="G384" i="3"/>
  <c r="H384" i="3"/>
  <c r="I394" i="3" s="1"/>
  <c r="C394" i="3" s="1"/>
  <c r="J379" i="3"/>
  <c r="E378" i="3"/>
  <c r="E379" i="3" s="1"/>
  <c r="G372" i="3"/>
  <c r="J378" i="3" s="1"/>
  <c r="H372" i="3"/>
  <c r="I392" i="3" s="1"/>
  <c r="C392" i="3" s="1"/>
  <c r="B373" i="3"/>
  <c r="J367" i="3"/>
  <c r="B367" i="3"/>
  <c r="C367" i="3"/>
  <c r="I391" i="3" s="1"/>
  <c r="C391" i="3" s="1"/>
  <c r="J366" i="3"/>
  <c r="B366" i="3"/>
  <c r="B372" i="3" s="1"/>
  <c r="C366" i="3"/>
  <c r="I390" i="3" s="1"/>
  <c r="C390" i="3" s="1"/>
  <c r="H362" i="3"/>
  <c r="C374" i="3" s="1"/>
  <c r="K361" i="3"/>
  <c r="L361" i="3" s="1"/>
  <c r="C384" i="3" s="1"/>
  <c r="F361" i="3"/>
  <c r="D378" i="3" s="1"/>
  <c r="H360" i="3"/>
  <c r="C373" i="3" s="1"/>
  <c r="H359" i="3"/>
  <c r="C372" i="3" s="1"/>
  <c r="D372" i="3" s="1"/>
  <c r="H410" i="3" s="1"/>
  <c r="H411" i="3" s="1"/>
  <c r="F353" i="3"/>
  <c r="F354" i="3" s="1"/>
  <c r="H354" i="3" s="1"/>
  <c r="D353" i="3"/>
  <c r="D354" i="3" s="1"/>
  <c r="D353" i="2"/>
  <c r="J420" i="2"/>
  <c r="G420" i="2"/>
  <c r="B420" i="2"/>
  <c r="J412" i="2"/>
  <c r="B412" i="2"/>
  <c r="I404" i="2"/>
  <c r="B404" i="2"/>
  <c r="G400" i="2"/>
  <c r="E399" i="2"/>
  <c r="G398" i="2"/>
  <c r="G399" i="2" s="1"/>
  <c r="G396" i="2"/>
  <c r="J366" i="2"/>
  <c r="B374" i="2" s="1"/>
  <c r="H388" i="2"/>
  <c r="J382" i="2"/>
  <c r="E381" i="2"/>
  <c r="B380" i="2" s="1"/>
  <c r="J381" i="2" s="1"/>
  <c r="E380" i="2"/>
  <c r="J380" i="2" s="1"/>
  <c r="D380" i="2"/>
  <c r="B373" i="2"/>
  <c r="J365" i="2"/>
  <c r="C365" i="2"/>
  <c r="H397" i="2" s="1"/>
  <c r="J364" i="2"/>
  <c r="B372" i="2" s="1"/>
  <c r="C364" i="2"/>
  <c r="D396" i="2" s="1"/>
  <c r="H396" i="2" s="1"/>
  <c r="H360" i="2"/>
  <c r="I360" i="2" s="1"/>
  <c r="L359" i="2"/>
  <c r="I380" i="2" s="1"/>
  <c r="H358" i="2"/>
  <c r="I358" i="2" s="1"/>
  <c r="I365" i="2" s="1"/>
  <c r="H357" i="2"/>
  <c r="I357" i="2" s="1"/>
  <c r="I364" i="2" s="1"/>
  <c r="F353" i="2"/>
  <c r="F354" i="2" s="1"/>
  <c r="H354" i="2" s="1"/>
  <c r="C353" i="2"/>
  <c r="C354" i="2" s="1"/>
  <c r="C412" i="2" s="1"/>
  <c r="C310" i="1"/>
  <c r="C311" i="1" s="1"/>
  <c r="D310" i="1"/>
  <c r="D311" i="1" s="1"/>
  <c r="F310" i="1"/>
  <c r="D358" i="1"/>
  <c r="I358" i="1" s="1"/>
  <c r="H358" i="1" s="1"/>
  <c r="D370" i="1" s="1"/>
  <c r="G364" i="1"/>
  <c r="B364" i="1"/>
  <c r="J358" i="1"/>
  <c r="J347" i="1"/>
  <c r="B353" i="1" s="1"/>
  <c r="J345" i="1"/>
  <c r="B351" i="1" s="1"/>
  <c r="B345" i="1"/>
  <c r="J348" i="1" s="1"/>
  <c r="B354" i="1" s="1"/>
  <c r="E334" i="1"/>
  <c r="C345" i="1"/>
  <c r="I348" i="1" s="1"/>
  <c r="C354" i="1" s="1"/>
  <c r="E339" i="1"/>
  <c r="J339" i="1"/>
  <c r="D339" i="1"/>
  <c r="F320" i="1"/>
  <c r="H332" i="1" s="1"/>
  <c r="I347" i="1" s="1"/>
  <c r="C353" i="1" s="1"/>
  <c r="G326" i="1"/>
  <c r="E333" i="1" s="1"/>
  <c r="J346" i="1" s="1"/>
  <c r="B352" i="1" s="1"/>
  <c r="F319" i="1"/>
  <c r="H326" i="1" s="1"/>
  <c r="F321" i="1"/>
  <c r="H327" i="1" s="1"/>
  <c r="C326" i="1"/>
  <c r="I346" i="1" s="1"/>
  <c r="C352" i="1" s="1"/>
  <c r="C325" i="1"/>
  <c r="D332" i="1" s="1"/>
  <c r="C322" i="1"/>
  <c r="F318" i="1"/>
  <c r="H325" i="1" s="1"/>
  <c r="D312" i="1"/>
  <c r="F312" i="1"/>
  <c r="B323" i="3"/>
  <c r="J338" i="3"/>
  <c r="J346" i="3" s="1"/>
  <c r="I338" i="3"/>
  <c r="I346" i="3" s="1"/>
  <c r="B315" i="3"/>
  <c r="C315" i="3"/>
  <c r="J307" i="3"/>
  <c r="I307" i="3"/>
  <c r="H307" i="3" s="1"/>
  <c r="E346" i="3"/>
  <c r="J322" i="3"/>
  <c r="B338" i="3"/>
  <c r="C338" i="3"/>
  <c r="E330" i="3"/>
  <c r="J330" i="3" s="1"/>
  <c r="H322" i="3"/>
  <c r="I322" i="3" s="1"/>
  <c r="D346" i="3" s="1"/>
  <c r="B322" i="3"/>
  <c r="G306" i="3"/>
  <c r="B314" i="3"/>
  <c r="J306" i="3"/>
  <c r="I306" i="3"/>
  <c r="C314" i="3" s="1"/>
  <c r="E291" i="3"/>
  <c r="B298" i="3"/>
  <c r="I290" i="3"/>
  <c r="H290" i="3" s="1"/>
  <c r="D291" i="3" s="1"/>
  <c r="G277" i="3"/>
  <c r="D290" i="3"/>
  <c r="H277" i="3" s="1"/>
  <c r="J284" i="3"/>
  <c r="C275" i="3"/>
  <c r="I284" i="3" s="1"/>
  <c r="B283" i="3"/>
  <c r="C283" i="3"/>
  <c r="G276" i="3"/>
  <c r="D283" i="3"/>
  <c r="D275" i="3"/>
  <c r="B275" i="3"/>
  <c r="J283" i="3"/>
  <c r="E282" i="3"/>
  <c r="D274" i="3"/>
  <c r="H275" i="3"/>
  <c r="F272" i="3" s="1"/>
  <c r="J282" i="3"/>
  <c r="C282" i="3"/>
  <c r="D282" i="3" s="1"/>
  <c r="J274" i="3"/>
  <c r="C274" i="3"/>
  <c r="I274" i="3" s="1"/>
  <c r="J344" i="2"/>
  <c r="B321" i="2"/>
  <c r="I336" i="2"/>
  <c r="J305" i="2"/>
  <c r="B313" i="2" s="1"/>
  <c r="I305" i="2"/>
  <c r="H305" i="2" s="1"/>
  <c r="E344" i="2"/>
  <c r="J320" i="2"/>
  <c r="B336" i="2"/>
  <c r="C336" i="2"/>
  <c r="J328" i="2"/>
  <c r="E328" i="2"/>
  <c r="H320" i="2"/>
  <c r="I320" i="2" s="1"/>
  <c r="D344" i="2" s="1"/>
  <c r="B320" i="2"/>
  <c r="G304" i="2"/>
  <c r="B312" i="2"/>
  <c r="J304" i="2"/>
  <c r="I304" i="2"/>
  <c r="C312" i="2" s="1"/>
  <c r="E289" i="2"/>
  <c r="B296" i="2"/>
  <c r="I288" i="2"/>
  <c r="H288" i="2" s="1"/>
  <c r="D289" i="2" s="1"/>
  <c r="E288" i="2"/>
  <c r="D288" i="2"/>
  <c r="H275" i="2" s="1"/>
  <c r="B273" i="2"/>
  <c r="G274" i="2"/>
  <c r="E281" i="2"/>
  <c r="J282" i="2" s="1"/>
  <c r="D281" i="2"/>
  <c r="D273" i="2"/>
  <c r="D272" i="2"/>
  <c r="E272" i="2"/>
  <c r="E280" i="2" s="1"/>
  <c r="H273" i="2"/>
  <c r="F270" i="2" s="1"/>
  <c r="J280" i="2"/>
  <c r="C280" i="2"/>
  <c r="I280" i="2" s="1"/>
  <c r="J272" i="2"/>
  <c r="I272" i="2"/>
  <c r="C272" i="2"/>
  <c r="E295" i="1"/>
  <c r="B282" i="1" s="1"/>
  <c r="D295" i="1"/>
  <c r="B274" i="1"/>
  <c r="J267" i="1"/>
  <c r="I267" i="1"/>
  <c r="H267" i="1" s="1"/>
  <c r="J295" i="1"/>
  <c r="J280" i="1"/>
  <c r="E287" i="1"/>
  <c r="J302" i="1" s="1"/>
  <c r="H280" i="1"/>
  <c r="B280" i="1"/>
  <c r="B273" i="1"/>
  <c r="C280" i="1"/>
  <c r="E224" i="1"/>
  <c r="B228" i="1"/>
  <c r="C228" i="1"/>
  <c r="H222" i="1"/>
  <c r="B261" i="3"/>
  <c r="E259" i="3" s="1"/>
  <c r="B268" i="3" s="1"/>
  <c r="C261" i="3"/>
  <c r="D259" i="3" s="1"/>
  <c r="C268" i="3" s="1"/>
  <c r="G259" i="3"/>
  <c r="H259" i="3"/>
  <c r="C260" i="3"/>
  <c r="B267" i="3"/>
  <c r="E267" i="3"/>
  <c r="B266" i="3"/>
  <c r="G258" i="3" s="1"/>
  <c r="D242" i="3"/>
  <c r="C266" i="3" s="1"/>
  <c r="G251" i="3"/>
  <c r="J243" i="3"/>
  <c r="I243" i="3"/>
  <c r="D252" i="3" s="1"/>
  <c r="H251" i="3" s="1"/>
  <c r="G250" i="3"/>
  <c r="J242" i="3"/>
  <c r="I242" i="3"/>
  <c r="D250" i="3" s="1"/>
  <c r="H250" i="3" s="1"/>
  <c r="E240" i="2"/>
  <c r="G256" i="2"/>
  <c r="E257" i="2" s="1"/>
  <c r="C257" i="2"/>
  <c r="H256" i="2" s="1"/>
  <c r="B256" i="2"/>
  <c r="D263" i="2"/>
  <c r="E256" i="2"/>
  <c r="D256" i="2"/>
  <c r="C256" i="2" s="1"/>
  <c r="B263" i="2"/>
  <c r="B255" i="2"/>
  <c r="G255" i="2" s="1"/>
  <c r="D239" i="2"/>
  <c r="C255" i="2" s="1"/>
  <c r="D255" i="2" s="1"/>
  <c r="C263" i="2" s="1"/>
  <c r="G248" i="2"/>
  <c r="J243" i="2"/>
  <c r="I243" i="2"/>
  <c r="D249" i="2" s="1"/>
  <c r="H248" i="2" s="1"/>
  <c r="G247" i="2"/>
  <c r="J239" i="2"/>
  <c r="I239" i="2"/>
  <c r="D247" i="2" s="1"/>
  <c r="H247" i="2" s="1"/>
  <c r="E222" i="1"/>
  <c r="D222" i="1"/>
  <c r="I220" i="1"/>
  <c r="C222" i="1" s="1"/>
  <c r="G220" i="1"/>
  <c r="B220" i="1"/>
  <c r="B227" i="1" s="1"/>
  <c r="C220" i="1"/>
  <c r="D220" i="1" s="1"/>
  <c r="H220" i="1" s="1"/>
  <c r="G207" i="1"/>
  <c r="J213" i="1"/>
  <c r="I213" i="1"/>
  <c r="D207" i="1" s="1"/>
  <c r="H207" i="1" s="1"/>
  <c r="J212" i="1"/>
  <c r="I212" i="1"/>
  <c r="G205" i="1"/>
  <c r="H205" i="1"/>
  <c r="H234" i="3"/>
  <c r="C235" i="3"/>
  <c r="C233" i="3"/>
  <c r="C231" i="3"/>
  <c r="D224" i="3"/>
  <c r="C224" i="3"/>
  <c r="I217" i="3"/>
  <c r="D218" i="3"/>
  <c r="H208" i="3"/>
  <c r="G216" i="3"/>
  <c r="D206" i="3"/>
  <c r="H216" i="3" s="1"/>
  <c r="H217" i="3" s="1"/>
  <c r="I218" i="3" s="1"/>
  <c r="F233" i="3" s="1"/>
  <c r="B206" i="3"/>
  <c r="C206" i="3"/>
  <c r="D208" i="3" s="1"/>
  <c r="F234" i="3" s="1"/>
  <c r="B217" i="3"/>
  <c r="B223" i="3"/>
  <c r="B216" i="3" s="1"/>
  <c r="I206" i="3"/>
  <c r="C216" i="3" s="1"/>
  <c r="E205" i="3"/>
  <c r="D205" i="3"/>
  <c r="B205" i="3"/>
  <c r="B215" i="3" s="1"/>
  <c r="I205" i="3"/>
  <c r="I208" i="3" s="1"/>
  <c r="L169" i="3"/>
  <c r="D174" i="3" s="1"/>
  <c r="C198" i="3" s="1"/>
  <c r="E173" i="3"/>
  <c r="E174" i="3" s="1"/>
  <c r="B198" i="3" s="1"/>
  <c r="L167" i="3"/>
  <c r="D173" i="3" s="1"/>
  <c r="C197" i="3" s="1"/>
  <c r="B196" i="3"/>
  <c r="J180" i="3"/>
  <c r="J188" i="3" s="1"/>
  <c r="I180" i="3"/>
  <c r="C188" i="3"/>
  <c r="C176" i="3"/>
  <c r="I176" i="3" s="1"/>
  <c r="C184" i="3" s="1"/>
  <c r="B176" i="3"/>
  <c r="B184" i="3" s="1"/>
  <c r="C175" i="3"/>
  <c r="I175" i="3" s="1"/>
  <c r="C183" i="3" s="1"/>
  <c r="B175" i="3"/>
  <c r="B183" i="3" s="1"/>
  <c r="B174" i="3"/>
  <c r="B182" i="3" s="1"/>
  <c r="C174" i="3"/>
  <c r="I174" i="3" s="1"/>
  <c r="C182" i="3" s="1"/>
  <c r="B173" i="3"/>
  <c r="J173" i="3" s="1"/>
  <c r="C173" i="3"/>
  <c r="I173" i="3" s="1"/>
  <c r="C181" i="3" s="1"/>
  <c r="C172" i="3"/>
  <c r="I172" i="3" s="1"/>
  <c r="C180" i="3" s="1"/>
  <c r="B172" i="3"/>
  <c r="B180" i="3" s="1"/>
  <c r="F169" i="3"/>
  <c r="C169" i="3"/>
  <c r="H229" i="2"/>
  <c r="C230" i="2"/>
  <c r="C229" i="2"/>
  <c r="C227" i="2"/>
  <c r="I205" i="2"/>
  <c r="F231" i="2" s="1"/>
  <c r="H204" i="2"/>
  <c r="C220" i="2"/>
  <c r="D221" i="2" s="1"/>
  <c r="F227" i="2" s="1"/>
  <c r="I203" i="2"/>
  <c r="H213" i="2" s="1"/>
  <c r="H214" i="2" s="1"/>
  <c r="I215" i="2" s="1"/>
  <c r="F229" i="2" s="1"/>
  <c r="B214" i="2"/>
  <c r="G203" i="2"/>
  <c r="D204" i="2"/>
  <c r="C214" i="2" s="1"/>
  <c r="B213" i="2"/>
  <c r="E203" i="2"/>
  <c r="D203" i="2"/>
  <c r="C213" i="2" s="1"/>
  <c r="J202" i="2"/>
  <c r="I202" i="2"/>
  <c r="H205" i="2" s="1"/>
  <c r="K230" i="2" s="1"/>
  <c r="G202" i="2"/>
  <c r="B212" i="2" s="1"/>
  <c r="D202" i="2"/>
  <c r="C212" i="2" s="1"/>
  <c r="B194" i="2"/>
  <c r="B193" i="2"/>
  <c r="K166" i="2"/>
  <c r="K165" i="2"/>
  <c r="K162" i="2"/>
  <c r="K161" i="2"/>
  <c r="K160" i="2"/>
  <c r="K159" i="2"/>
  <c r="B192" i="2"/>
  <c r="J185" i="2"/>
  <c r="J178" i="2" s="1"/>
  <c r="I185" i="2"/>
  <c r="C185" i="2"/>
  <c r="C175" i="2"/>
  <c r="I175" i="2" s="1"/>
  <c r="C182" i="2" s="1"/>
  <c r="C174" i="2"/>
  <c r="I174" i="2" s="1"/>
  <c r="C181" i="2" s="1"/>
  <c r="C173" i="2"/>
  <c r="I173" i="2" s="1"/>
  <c r="C180" i="2" s="1"/>
  <c r="C172" i="2"/>
  <c r="I172" i="2" s="1"/>
  <c r="C179" i="2" s="1"/>
  <c r="C171" i="2"/>
  <c r="I171" i="2" s="1"/>
  <c r="C178" i="2" s="1"/>
  <c r="B172" i="2"/>
  <c r="J172" i="2" s="1"/>
  <c r="B173" i="2"/>
  <c r="B180" i="2" s="1"/>
  <c r="B174" i="2"/>
  <c r="B181" i="2" s="1"/>
  <c r="B175" i="2"/>
  <c r="B182" i="2" s="1"/>
  <c r="B171" i="2"/>
  <c r="J171" i="2" s="1"/>
  <c r="F161" i="2"/>
  <c r="C161" i="2"/>
  <c r="H197" i="1"/>
  <c r="C189" i="1"/>
  <c r="D190" i="1" s="1"/>
  <c r="F195" i="1" s="1"/>
  <c r="C198" i="1"/>
  <c r="C197" i="1"/>
  <c r="C195" i="1"/>
  <c r="G200" i="1"/>
  <c r="D183" i="1"/>
  <c r="F199" i="1" s="1"/>
  <c r="G181" i="1"/>
  <c r="G175" i="1"/>
  <c r="B181" i="1"/>
  <c r="D175" i="1"/>
  <c r="H175" i="1" s="1"/>
  <c r="E174" i="1"/>
  <c r="G174" i="1" s="1"/>
  <c r="D174" i="1"/>
  <c r="H174" i="1" s="1"/>
  <c r="E180" i="1"/>
  <c r="D180" i="1"/>
  <c r="C183" i="1" s="1"/>
  <c r="I198" i="1" s="1"/>
  <c r="B180" i="1"/>
  <c r="C180" i="1"/>
  <c r="D181" i="1" s="1"/>
  <c r="G173" i="1"/>
  <c r="G168" i="1"/>
  <c r="L154" i="1"/>
  <c r="L153" i="1"/>
  <c r="L152" i="1"/>
  <c r="G167" i="1"/>
  <c r="L149" i="1"/>
  <c r="L148" i="1"/>
  <c r="L147" i="1"/>
  <c r="G166" i="1"/>
  <c r="E158" i="1"/>
  <c r="E166" i="1" s="1"/>
  <c r="D158" i="1"/>
  <c r="H158" i="1"/>
  <c r="H148" i="1"/>
  <c r="F148" i="1"/>
  <c r="B155" i="1"/>
  <c r="J155" i="1" s="1"/>
  <c r="B154" i="1"/>
  <c r="J154" i="1" s="1"/>
  <c r="C154" i="1"/>
  <c r="I154" i="1" s="1"/>
  <c r="C155" i="1"/>
  <c r="I155" i="1" s="1"/>
  <c r="B153" i="1"/>
  <c r="J153" i="1" s="1"/>
  <c r="C153" i="1"/>
  <c r="I153" i="1" s="1"/>
  <c r="C152" i="1"/>
  <c r="I152" i="1" s="1"/>
  <c r="B152" i="1"/>
  <c r="J152" i="1" s="1"/>
  <c r="C151" i="1"/>
  <c r="I151" i="1" s="1"/>
  <c r="B151" i="1"/>
  <c r="J151" i="1" s="1"/>
  <c r="H150" i="3"/>
  <c r="I135" i="3"/>
  <c r="H144" i="3" s="1"/>
  <c r="H152" i="3"/>
  <c r="H151" i="3"/>
  <c r="I129" i="3"/>
  <c r="H130" i="3" s="1"/>
  <c r="K152" i="3" s="1"/>
  <c r="D122" i="3"/>
  <c r="C116" i="3"/>
  <c r="D116" i="3"/>
  <c r="C151" i="3"/>
  <c r="E142" i="3"/>
  <c r="D142" i="3"/>
  <c r="D143" i="3" s="1"/>
  <c r="C144" i="3" s="1"/>
  <c r="B128" i="3"/>
  <c r="C128" i="3"/>
  <c r="C135" i="3"/>
  <c r="D135" i="3" s="1"/>
  <c r="H143" i="3" s="1"/>
  <c r="J128" i="3"/>
  <c r="B135" i="3" s="1"/>
  <c r="E128" i="3"/>
  <c r="J121" i="3"/>
  <c r="D128" i="3"/>
  <c r="I121" i="3"/>
  <c r="C121" i="3"/>
  <c r="C122" i="3" s="1"/>
  <c r="G114" i="3"/>
  <c r="H114" i="3"/>
  <c r="I114" i="3" s="1"/>
  <c r="H142" i="3" s="1"/>
  <c r="H145" i="3" s="1"/>
  <c r="I146" i="3" s="1"/>
  <c r="K150" i="3" s="1"/>
  <c r="H106" i="3"/>
  <c r="H105" i="3"/>
  <c r="C105" i="3"/>
  <c r="C97" i="3"/>
  <c r="G96" i="3"/>
  <c r="G92" i="3"/>
  <c r="B89" i="3"/>
  <c r="C89" i="3"/>
  <c r="C92" i="3" s="1"/>
  <c r="D96" i="3"/>
  <c r="G91" i="3"/>
  <c r="H91" i="3"/>
  <c r="G90" i="3"/>
  <c r="H90" i="3"/>
  <c r="G89" i="3"/>
  <c r="D89" i="3"/>
  <c r="D92" i="3" s="1"/>
  <c r="E148" i="2"/>
  <c r="D148" i="2"/>
  <c r="C141" i="2"/>
  <c r="J133" i="2"/>
  <c r="B141" i="2" s="1"/>
  <c r="E133" i="2"/>
  <c r="D133" i="2"/>
  <c r="G126" i="2"/>
  <c r="H126" i="2"/>
  <c r="B126" i="2"/>
  <c r="C126" i="2"/>
  <c r="J118" i="2"/>
  <c r="I118" i="2"/>
  <c r="H109" i="2"/>
  <c r="H108" i="2"/>
  <c r="C108" i="2"/>
  <c r="C101" i="2"/>
  <c r="G100" i="2"/>
  <c r="G96" i="2"/>
  <c r="B93" i="2"/>
  <c r="C93" i="2"/>
  <c r="C96" i="2" s="1"/>
  <c r="D100" i="2"/>
  <c r="D101" i="2" s="1"/>
  <c r="G95" i="2"/>
  <c r="H95" i="2"/>
  <c r="G94" i="2"/>
  <c r="H94" i="2"/>
  <c r="G93" i="2"/>
  <c r="D93" i="2"/>
  <c r="D96" i="2" s="1"/>
  <c r="E135" i="1"/>
  <c r="D135" i="1"/>
  <c r="C127" i="1"/>
  <c r="J119" i="1"/>
  <c r="B127" i="1" s="1"/>
  <c r="B119" i="1"/>
  <c r="C119" i="1"/>
  <c r="J111" i="1"/>
  <c r="I111" i="1"/>
  <c r="B111" i="1"/>
  <c r="C111" i="1"/>
  <c r="J103" i="1"/>
  <c r="I103" i="1"/>
  <c r="H94" i="1"/>
  <c r="C94" i="1"/>
  <c r="H98" i="1"/>
  <c r="C85" i="1"/>
  <c r="G84" i="1"/>
  <c r="B78" i="1"/>
  <c r="C78" i="1"/>
  <c r="G75" i="1"/>
  <c r="H75" i="1"/>
  <c r="H78" i="1" s="1"/>
  <c r="D84" i="1"/>
  <c r="D85" i="1" s="1"/>
  <c r="B77" i="1"/>
  <c r="C77" i="1"/>
  <c r="B76" i="1"/>
  <c r="C76" i="1"/>
  <c r="C75" i="1"/>
  <c r="G56" i="3"/>
  <c r="D51" i="3"/>
  <c r="B80" i="3"/>
  <c r="B56" i="3"/>
  <c r="J49" i="3"/>
  <c r="F76" i="3"/>
  <c r="F75" i="3"/>
  <c r="F68" i="3"/>
  <c r="F67" i="3"/>
  <c r="G50" i="3"/>
  <c r="H50" i="3"/>
  <c r="E49" i="3"/>
  <c r="H49" i="3"/>
  <c r="H43" i="3"/>
  <c r="H44" i="3" s="1"/>
  <c r="H41" i="3"/>
  <c r="H42" i="3" s="1"/>
  <c r="H38" i="3"/>
  <c r="H39" i="3" s="1"/>
  <c r="D20" i="3"/>
  <c r="C21" i="3" s="1"/>
  <c r="I30" i="3" s="1"/>
  <c r="F30" i="3"/>
  <c r="F29" i="3"/>
  <c r="F28" i="3"/>
  <c r="B28" i="3"/>
  <c r="C6" i="3"/>
  <c r="B27" i="3"/>
  <c r="G13" i="3"/>
  <c r="H13" i="3"/>
  <c r="E12" i="3"/>
  <c r="B12" i="3"/>
  <c r="J5" i="3"/>
  <c r="I5" i="3"/>
  <c r="I8" i="3" s="1"/>
  <c r="H9" i="3" s="1"/>
  <c r="I29" i="3" s="1"/>
  <c r="D5" i="3"/>
  <c r="I86" i="2"/>
  <c r="G60" i="2"/>
  <c r="G85" i="2"/>
  <c r="D55" i="2"/>
  <c r="B83" i="2"/>
  <c r="J53" i="2"/>
  <c r="B60" i="2"/>
  <c r="F79" i="2"/>
  <c r="F78" i="2"/>
  <c r="F72" i="2"/>
  <c r="F71" i="2"/>
  <c r="G54" i="2"/>
  <c r="H54" i="2"/>
  <c r="G53" i="2"/>
  <c r="H53" i="2"/>
  <c r="H44" i="2"/>
  <c r="I44" i="2" s="1"/>
  <c r="H43" i="2"/>
  <c r="I43" i="2" s="1"/>
  <c r="H40" i="2"/>
  <c r="I40" i="2" s="1"/>
  <c r="D21" i="2"/>
  <c r="C21" i="2"/>
  <c r="H30" i="2"/>
  <c r="H29" i="2"/>
  <c r="C29" i="2"/>
  <c r="C28" i="2"/>
  <c r="C6" i="2"/>
  <c r="G14" i="2"/>
  <c r="H14" i="2"/>
  <c r="G13" i="2"/>
  <c r="B13" i="2"/>
  <c r="C13" i="2"/>
  <c r="H13" i="2" s="1"/>
  <c r="J5" i="2"/>
  <c r="I5" i="2"/>
  <c r="I7" i="2" s="1"/>
  <c r="I9" i="2" s="1"/>
  <c r="D5" i="2"/>
  <c r="D6" i="2" s="1"/>
  <c r="D8" i="2" s="1"/>
  <c r="J36" i="1"/>
  <c r="H67" i="1"/>
  <c r="D38" i="1"/>
  <c r="C66" i="1"/>
  <c r="H70" i="1"/>
  <c r="F54" i="1"/>
  <c r="H54" i="1" s="1"/>
  <c r="C54" i="1"/>
  <c r="C56" i="1"/>
  <c r="C60" i="1" s="1"/>
  <c r="C53" i="1"/>
  <c r="H37" i="1"/>
  <c r="G37" i="1"/>
  <c r="G36" i="1"/>
  <c r="H36" i="1"/>
  <c r="H31" i="1"/>
  <c r="H30" i="1"/>
  <c r="H29" i="1"/>
  <c r="H28" i="1"/>
  <c r="C29" i="1"/>
  <c r="C28" i="1"/>
  <c r="H7" i="1"/>
  <c r="E19" i="1"/>
  <c r="D19" i="1"/>
  <c r="D20" i="1" s="1"/>
  <c r="C21" i="1" s="1"/>
  <c r="K30" i="1" s="1"/>
  <c r="E12" i="1"/>
  <c r="J5" i="1"/>
  <c r="B12" i="1" s="1"/>
  <c r="I5" i="1"/>
  <c r="I7" i="1" s="1"/>
  <c r="D5" i="1"/>
  <c r="D6" i="1" s="1"/>
  <c r="D8" i="1" s="1"/>
  <c r="J175" i="3" l="1"/>
  <c r="H763" i="3"/>
  <c r="H783" i="3" s="1"/>
  <c r="D268" i="3"/>
  <c r="D681" i="3"/>
  <c r="I677" i="3" s="1"/>
  <c r="H765" i="2"/>
  <c r="H785" i="2" s="1"/>
  <c r="H373" i="3"/>
  <c r="D379" i="3"/>
  <c r="C378" i="3" s="1"/>
  <c r="I380" i="3" s="1"/>
  <c r="H507" i="1"/>
  <c r="C273" i="2"/>
  <c r="I282" i="2" s="1"/>
  <c r="C494" i="2"/>
  <c r="I280" i="1"/>
  <c r="I295" i="1" s="1"/>
  <c r="I302" i="1"/>
  <c r="J380" i="3"/>
  <c r="B378" i="3"/>
  <c r="G373" i="3"/>
  <c r="I359" i="3"/>
  <c r="I366" i="3" s="1"/>
  <c r="J176" i="3"/>
  <c r="D334" i="1"/>
  <c r="E389" i="1"/>
  <c r="E391" i="1" s="1"/>
  <c r="E392" i="1" s="1"/>
  <c r="F383" i="1"/>
  <c r="C493" i="2"/>
  <c r="C495" i="2" s="1"/>
  <c r="C373" i="2"/>
  <c r="I468" i="2"/>
  <c r="C374" i="2"/>
  <c r="I366" i="2" s="1"/>
  <c r="I412" i="2"/>
  <c r="H412" i="2" s="1"/>
  <c r="I420" i="2" s="1"/>
  <c r="I421" i="2" s="1"/>
  <c r="E436" i="2"/>
  <c r="D428" i="2"/>
  <c r="E441" i="2"/>
  <c r="D442" i="2"/>
  <c r="D350" i="2"/>
  <c r="D349" i="2" s="1"/>
  <c r="I408" i="1"/>
  <c r="C227" i="1"/>
  <c r="C273" i="1"/>
  <c r="D333" i="1"/>
  <c r="C364" i="1"/>
  <c r="D224" i="1"/>
  <c r="F316" i="1"/>
  <c r="I339" i="1"/>
  <c r="I412" i="1"/>
  <c r="C412" i="1" s="1"/>
  <c r="D316" i="1"/>
  <c r="I325" i="1"/>
  <c r="C370" i="1" s="1"/>
  <c r="C371" i="1" s="1"/>
  <c r="I345" i="1"/>
  <c r="C351" i="1" s="1"/>
  <c r="D351" i="1" s="1"/>
  <c r="H351" i="1" s="1"/>
  <c r="C274" i="1"/>
  <c r="F311" i="1"/>
  <c r="D371" i="1"/>
  <c r="L150" i="1"/>
  <c r="D152" i="1" s="1"/>
  <c r="H167" i="1" s="1"/>
  <c r="C353" i="3"/>
  <c r="D266" i="3"/>
  <c r="C258" i="3" s="1"/>
  <c r="H258" i="3"/>
  <c r="I379" i="3"/>
  <c r="I393" i="3"/>
  <c r="C393" i="3" s="1"/>
  <c r="D390" i="3" s="1"/>
  <c r="C398" i="3" s="1"/>
  <c r="D398" i="3" s="1"/>
  <c r="C410" i="3" s="1"/>
  <c r="I378" i="3"/>
  <c r="F271" i="3"/>
  <c r="F273" i="3" s="1"/>
  <c r="I283" i="3" s="1"/>
  <c r="H276" i="3"/>
  <c r="I360" i="3"/>
  <c r="I367" i="3" s="1"/>
  <c r="C259" i="3"/>
  <c r="C298" i="3"/>
  <c r="F355" i="3"/>
  <c r="F356" i="3" s="1"/>
  <c r="I362" i="3"/>
  <c r="I368" i="3" s="1"/>
  <c r="F66" i="3"/>
  <c r="H306" i="3"/>
  <c r="C322" i="3" s="1"/>
  <c r="H51" i="3"/>
  <c r="D123" i="3"/>
  <c r="F151" i="3" s="1"/>
  <c r="F155" i="3" s="1"/>
  <c r="J172" i="3"/>
  <c r="C323" i="3"/>
  <c r="C207" i="3"/>
  <c r="I282" i="3"/>
  <c r="I330" i="3"/>
  <c r="D354" i="2"/>
  <c r="F350" i="2"/>
  <c r="F349" i="2" s="1"/>
  <c r="C372" i="2"/>
  <c r="D397" i="2"/>
  <c r="D400" i="2"/>
  <c r="H400" i="2" s="1"/>
  <c r="H372" i="2"/>
  <c r="D398" i="2" s="1"/>
  <c r="H398" i="2" s="1"/>
  <c r="B281" i="2"/>
  <c r="L360" i="2"/>
  <c r="L361" i="2" s="1"/>
  <c r="C388" i="2" s="1"/>
  <c r="H55" i="2"/>
  <c r="C53" i="2"/>
  <c r="C55" i="2" s="1"/>
  <c r="C56" i="2" s="1"/>
  <c r="I85" i="2" s="1"/>
  <c r="H304" i="2"/>
  <c r="C320" i="2" s="1"/>
  <c r="D280" i="2"/>
  <c r="F269" i="2" s="1"/>
  <c r="F271" i="2" s="1"/>
  <c r="I281" i="2" s="1"/>
  <c r="C296" i="2"/>
  <c r="C313" i="2"/>
  <c r="H255" i="2"/>
  <c r="J281" i="2"/>
  <c r="C321" i="2"/>
  <c r="H206" i="2"/>
  <c r="C265" i="2"/>
  <c r="D257" i="2" s="1"/>
  <c r="D240" i="2"/>
  <c r="H274" i="2"/>
  <c r="I344" i="2"/>
  <c r="I328" i="2"/>
  <c r="C282" i="1"/>
  <c r="D302" i="1"/>
  <c r="F232" i="1"/>
  <c r="E302" i="1"/>
  <c r="H92" i="3"/>
  <c r="J174" i="3"/>
  <c r="H209" i="3"/>
  <c r="K234" i="3" s="1"/>
  <c r="D207" i="3"/>
  <c r="D209" i="3" s="1"/>
  <c r="C215" i="3"/>
  <c r="C218" i="3" s="1"/>
  <c r="D219" i="3" s="1"/>
  <c r="F235" i="3" s="1"/>
  <c r="D225" i="3"/>
  <c r="F231" i="3" s="1"/>
  <c r="C208" i="3"/>
  <c r="C117" i="3"/>
  <c r="K151" i="3" s="1"/>
  <c r="K155" i="3" s="1"/>
  <c r="K164" i="3"/>
  <c r="L165" i="3" s="1"/>
  <c r="D172" i="3" s="1"/>
  <c r="C196" i="3" s="1"/>
  <c r="L166" i="3" s="1"/>
  <c r="C12" i="3"/>
  <c r="C13" i="3" s="1"/>
  <c r="L170" i="3"/>
  <c r="D53" i="3"/>
  <c r="C93" i="3"/>
  <c r="K105" i="3" s="1"/>
  <c r="B181" i="3"/>
  <c r="L168" i="3"/>
  <c r="H67" i="3"/>
  <c r="D97" i="3"/>
  <c r="C98" i="3" s="1"/>
  <c r="K106" i="3" s="1"/>
  <c r="H89" i="3"/>
  <c r="I188" i="3"/>
  <c r="F74" i="3"/>
  <c r="I82" i="3"/>
  <c r="I83" i="3" s="1"/>
  <c r="B197" i="3"/>
  <c r="C215" i="2"/>
  <c r="K167" i="2"/>
  <c r="D173" i="2" s="1"/>
  <c r="C194" i="2" s="1"/>
  <c r="I204" i="2"/>
  <c r="I206" i="2" s="1"/>
  <c r="D205" i="2"/>
  <c r="C206" i="2" s="1"/>
  <c r="K229" i="2" s="1"/>
  <c r="K233" i="2" s="1"/>
  <c r="B178" i="2"/>
  <c r="K163" i="2"/>
  <c r="D172" i="2" s="1"/>
  <c r="C193" i="2" s="1"/>
  <c r="I178" i="2"/>
  <c r="K156" i="2"/>
  <c r="L157" i="2" s="1"/>
  <c r="D171" i="2" s="1"/>
  <c r="C192" i="2" s="1"/>
  <c r="J173" i="2"/>
  <c r="B179" i="2"/>
  <c r="J175" i="2"/>
  <c r="J174" i="2"/>
  <c r="C60" i="2"/>
  <c r="D60" i="2" s="1"/>
  <c r="H60" i="2" s="1"/>
  <c r="H61" i="2" s="1"/>
  <c r="I62" i="2" s="1"/>
  <c r="I84" i="2" s="1"/>
  <c r="I83" i="2" s="1"/>
  <c r="C97" i="2"/>
  <c r="K108" i="2" s="1"/>
  <c r="H93" i="2"/>
  <c r="C102" i="2"/>
  <c r="K109" i="2" s="1"/>
  <c r="C22" i="2"/>
  <c r="K31" i="2" s="1"/>
  <c r="H96" i="2"/>
  <c r="F77" i="2"/>
  <c r="I87" i="2"/>
  <c r="H176" i="1"/>
  <c r="I177" i="1" s="1"/>
  <c r="F198" i="1" s="1"/>
  <c r="L143" i="1"/>
  <c r="M145" i="1" s="1"/>
  <c r="D151" i="1" s="1"/>
  <c r="H166" i="1" s="1"/>
  <c r="M146" i="1" s="1"/>
  <c r="L155" i="1"/>
  <c r="D153" i="1" s="1"/>
  <c r="H168" i="1" s="1"/>
  <c r="C182" i="1"/>
  <c r="C184" i="1" s="1"/>
  <c r="D166" i="1"/>
  <c r="D176" i="1"/>
  <c r="C177" i="1" s="1"/>
  <c r="I197" i="1" s="1"/>
  <c r="I200" i="1" s="1"/>
  <c r="H181" i="1"/>
  <c r="H182" i="1" s="1"/>
  <c r="I183" i="1" s="1"/>
  <c r="F197" i="1" s="1"/>
  <c r="D182" i="1"/>
  <c r="D184" i="1" s="1"/>
  <c r="H38" i="1"/>
  <c r="C79" i="1"/>
  <c r="C86" i="1"/>
  <c r="K95" i="1" s="1"/>
  <c r="K69" i="1"/>
  <c r="C61" i="1"/>
  <c r="C43" i="1" s="1"/>
  <c r="D43" i="1" s="1"/>
  <c r="D75" i="1"/>
  <c r="C36" i="1"/>
  <c r="C38" i="1" s="1"/>
  <c r="C39" i="1" s="1"/>
  <c r="I75" i="1"/>
  <c r="I78" i="1" s="1"/>
  <c r="H79" i="1" s="1"/>
  <c r="K94" i="1" s="1"/>
  <c r="K68" i="1"/>
  <c r="H45" i="3"/>
  <c r="D6" i="3"/>
  <c r="D8" i="3" s="1"/>
  <c r="C56" i="3"/>
  <c r="C49" i="3"/>
  <c r="C51" i="3" s="1"/>
  <c r="F70" i="2"/>
  <c r="K44" i="2"/>
  <c r="H15" i="2"/>
  <c r="I16" i="2" s="1"/>
  <c r="F28" i="2" s="1"/>
  <c r="D13" i="2"/>
  <c r="D14" i="2" s="1"/>
  <c r="C14" i="2"/>
  <c r="H8" i="2"/>
  <c r="C7" i="2"/>
  <c r="H8" i="1"/>
  <c r="K29" i="1" s="1"/>
  <c r="F53" i="1"/>
  <c r="H53" i="1" s="1"/>
  <c r="C52" i="1"/>
  <c r="C12" i="1"/>
  <c r="C7" i="1"/>
  <c r="C7" i="3" l="1"/>
  <c r="I28" i="3" s="1"/>
  <c r="I27" i="3" s="1"/>
  <c r="I49" i="3"/>
  <c r="I51" i="3" s="1"/>
  <c r="L144" i="1"/>
  <c r="C496" i="2"/>
  <c r="C498" i="2" s="1"/>
  <c r="C499" i="2" s="1"/>
  <c r="F233" i="1"/>
  <c r="I243" i="1" s="1"/>
  <c r="D355" i="3"/>
  <c r="D356" i="3" s="1"/>
  <c r="I404" i="3"/>
  <c r="H404" i="3" s="1"/>
  <c r="I410" i="3" s="1"/>
  <c r="I411" i="3" s="1"/>
  <c r="H412" i="3" s="1"/>
  <c r="H12" i="3"/>
  <c r="H14" i="3" s="1"/>
  <c r="I15" i="3" s="1"/>
  <c r="D27" i="3" s="1"/>
  <c r="I52" i="3"/>
  <c r="D80" i="3" s="1"/>
  <c r="D84" i="3" s="1"/>
  <c r="E394" i="1"/>
  <c r="E395" i="1" s="1"/>
  <c r="F395" i="1" s="1"/>
  <c r="D381" i="2"/>
  <c r="C380" i="2" s="1"/>
  <c r="I381" i="2" s="1"/>
  <c r="D372" i="2"/>
  <c r="H420" i="2" s="1"/>
  <c r="H421" i="2" s="1"/>
  <c r="H422" i="2" s="1"/>
  <c r="D447" i="2"/>
  <c r="H459" i="2" s="1"/>
  <c r="D444" i="2"/>
  <c r="D445" i="2" s="1"/>
  <c r="H405" i="1"/>
  <c r="M151" i="1"/>
  <c r="H407" i="1"/>
  <c r="D418" i="1" s="1"/>
  <c r="M156" i="1"/>
  <c r="C309" i="1"/>
  <c r="C312" i="1" s="1"/>
  <c r="I351" i="1"/>
  <c r="H364" i="1" s="1"/>
  <c r="K98" i="1"/>
  <c r="C372" i="1"/>
  <c r="C354" i="3"/>
  <c r="C404" i="3" s="1"/>
  <c r="D267" i="3"/>
  <c r="D258" i="3"/>
  <c r="C267" i="3" s="1"/>
  <c r="C209" i="3"/>
  <c r="K235" i="3"/>
  <c r="K237" i="3" s="1"/>
  <c r="F237" i="3"/>
  <c r="I382" i="2"/>
  <c r="D399" i="2"/>
  <c r="H399" i="2" s="1"/>
  <c r="I396" i="2" s="1"/>
  <c r="C404" i="2" s="1"/>
  <c r="L164" i="2"/>
  <c r="F200" i="1"/>
  <c r="H43" i="1"/>
  <c r="H44" i="1" s="1"/>
  <c r="I45" i="1" s="1"/>
  <c r="K67" i="1" s="1"/>
  <c r="K70" i="1" s="1"/>
  <c r="M164" i="3"/>
  <c r="C57" i="3"/>
  <c r="D56" i="3"/>
  <c r="K109" i="3"/>
  <c r="I89" i="3"/>
  <c r="H93" i="3"/>
  <c r="C52" i="3"/>
  <c r="C53" i="3" s="1"/>
  <c r="L168" i="2"/>
  <c r="D216" i="2"/>
  <c r="F230" i="2" s="1"/>
  <c r="F233" i="2" s="1"/>
  <c r="L234" i="2" s="1"/>
  <c r="D15" i="2"/>
  <c r="F29" i="2" s="1"/>
  <c r="F32" i="2" s="1"/>
  <c r="I88" i="2"/>
  <c r="K157" i="2"/>
  <c r="L158" i="2"/>
  <c r="I53" i="2"/>
  <c r="I55" i="2" s="1"/>
  <c r="I56" i="2" s="1"/>
  <c r="F83" i="2" s="1"/>
  <c r="F88" i="2" s="1"/>
  <c r="K113" i="2"/>
  <c r="H97" i="2"/>
  <c r="I93" i="2"/>
  <c r="D79" i="1"/>
  <c r="H84" i="1"/>
  <c r="H85" i="1" s="1"/>
  <c r="I86" i="1" s="1"/>
  <c r="F94" i="1" s="1"/>
  <c r="F98" i="1" s="1"/>
  <c r="C59" i="1"/>
  <c r="I36" i="1" s="1"/>
  <c r="I38" i="1" s="1"/>
  <c r="I39" i="1" s="1"/>
  <c r="F66" i="1" s="1"/>
  <c r="F70" i="1" s="1"/>
  <c r="D12" i="3"/>
  <c r="D13" i="3" s="1"/>
  <c r="D14" i="3" s="1"/>
  <c r="D28" i="3" s="1"/>
  <c r="K29" i="2"/>
  <c r="C8" i="2"/>
  <c r="H9" i="2"/>
  <c r="K30" i="2"/>
  <c r="H12" i="1"/>
  <c r="C13" i="1"/>
  <c r="K28" i="1"/>
  <c r="K27" i="1" s="1"/>
  <c r="K31" i="1" s="1"/>
  <c r="C8" i="1"/>
  <c r="C8" i="3" l="1"/>
  <c r="H406" i="1"/>
  <c r="I414" i="1" s="1"/>
  <c r="D448" i="2"/>
  <c r="H460" i="2"/>
  <c r="D475" i="2" s="1"/>
  <c r="I469" i="2"/>
  <c r="I413" i="1"/>
  <c r="L99" i="1"/>
  <c r="C352" i="2"/>
  <c r="D404" i="2"/>
  <c r="C420" i="2" s="1"/>
  <c r="H56" i="3"/>
  <c r="H57" i="3" s="1"/>
  <c r="I58" i="3" s="1"/>
  <c r="I81" i="3" s="1"/>
  <c r="I80" i="3" s="1"/>
  <c r="I84" i="3" s="1"/>
  <c r="D57" i="3"/>
  <c r="H96" i="3"/>
  <c r="H97" i="3" s="1"/>
  <c r="I98" i="3" s="1"/>
  <c r="F105" i="3" s="1"/>
  <c r="F109" i="3" s="1"/>
  <c r="I93" i="3"/>
  <c r="I97" i="2"/>
  <c r="H100" i="2"/>
  <c r="H101" i="2" s="1"/>
  <c r="I102" i="2" s="1"/>
  <c r="F108" i="2" s="1"/>
  <c r="F113" i="2" s="1"/>
  <c r="D31" i="3"/>
  <c r="K27" i="3"/>
  <c r="I31" i="3"/>
  <c r="K28" i="2"/>
  <c r="H14" i="1"/>
  <c r="I15" i="1" s="1"/>
  <c r="F28" i="1" s="1"/>
  <c r="D12" i="1"/>
  <c r="D13" i="1" s="1"/>
  <c r="D14" i="1" s="1"/>
  <c r="F29" i="1" s="1"/>
  <c r="H408" i="1" l="1"/>
  <c r="H409" i="1" s="1"/>
  <c r="I403" i="1" s="1"/>
  <c r="E448" i="2"/>
  <c r="D499" i="2"/>
  <c r="H461" i="2"/>
  <c r="H462" i="2" s="1"/>
  <c r="L28" i="2"/>
  <c r="K32" i="2"/>
  <c r="F31" i="1"/>
  <c r="D423" i="3"/>
  <c r="D415" i="3" l="1"/>
  <c r="C453" i="3"/>
  <c r="I453" i="3" s="1"/>
  <c r="E423" i="3"/>
  <c r="D428" i="3"/>
  <c r="C475" i="3" s="1"/>
  <c r="C476" i="3" s="1"/>
  <c r="C478" i="3" l="1"/>
  <c r="C477" i="3"/>
  <c r="C479" i="3" s="1"/>
  <c r="C480" i="3" s="1"/>
  <c r="C482" i="3" s="1"/>
  <c r="H445" i="3"/>
  <c r="D429" i="3"/>
  <c r="E428" i="3"/>
  <c r="C483" i="3" l="1"/>
  <c r="D434" i="3"/>
  <c r="H446" i="3" s="1"/>
  <c r="I455" i="3" s="1"/>
  <c r="D431" i="3"/>
  <c r="D432" i="3" s="1"/>
  <c r="I454" i="3"/>
  <c r="H447" i="3" l="1"/>
  <c r="D460" i="3" s="1"/>
  <c r="D435" i="3"/>
  <c r="E435" i="3" l="1"/>
  <c r="D483" i="3"/>
  <c r="H448" i="3"/>
  <c r="H449" i="3" s="1"/>
  <c r="C495" i="3"/>
  <c r="H495" i="3"/>
</calcChain>
</file>

<file path=xl/sharedStrings.xml><?xml version="1.0" encoding="utf-8"?>
<sst xmlns="http://schemas.openxmlformats.org/spreadsheetml/2006/main" count="1730" uniqueCount="577">
  <si>
    <t>Przykład 1</t>
  </si>
  <si>
    <t>Kapitał podstawowy</t>
  </si>
  <si>
    <t>1)</t>
  </si>
  <si>
    <t>nadwyżka ceny rynkowej (w dniu emisji) nad nominalną to jest Agio</t>
  </si>
  <si>
    <t>Kapitał zapasowy</t>
  </si>
  <si>
    <t>Należne wpłaty na kapitał własny</t>
  </si>
  <si>
    <t>Rachunek bankowy</t>
  </si>
  <si>
    <t>2)</t>
  </si>
  <si>
    <t>Kredyty</t>
  </si>
  <si>
    <t>3)</t>
  </si>
  <si>
    <t>Sk.</t>
  </si>
  <si>
    <t>to są środki, które jeszcze nabywcy akcji powinni wpłacić do spółki</t>
  </si>
  <si>
    <t>Bilans</t>
  </si>
  <si>
    <t>Majątek trwały</t>
  </si>
  <si>
    <t>Aktywa</t>
  </si>
  <si>
    <t>Pasywa</t>
  </si>
  <si>
    <t>Kapitał własny</t>
  </si>
  <si>
    <t>RAZEM</t>
  </si>
  <si>
    <t>Przykład 2</t>
  </si>
  <si>
    <t>PLN</t>
  </si>
  <si>
    <t>Lat</t>
  </si>
  <si>
    <t>oprocentowanie</t>
  </si>
  <si>
    <t>rata miesięczna</t>
  </si>
  <si>
    <t>część kapitałowa</t>
  </si>
  <si>
    <t>część odsetkowa</t>
  </si>
  <si>
    <t>m-cy</t>
  </si>
  <si>
    <t>Koszty finansowe</t>
  </si>
  <si>
    <t>Wynik finansowy (860)</t>
  </si>
  <si>
    <t>4)</t>
  </si>
  <si>
    <t>operacja 4 - księgowe ustalenie wyniku finansowego</t>
  </si>
  <si>
    <t>konto koszty finansowe jest kontem wynikowym, zamyka się bezsaldowo przeksięwaniem na konto wynik finansowy</t>
  </si>
  <si>
    <t>Sk</t>
  </si>
  <si>
    <t>to saldo oznacza stratę</t>
  </si>
  <si>
    <t>Zobowiązania długoterminowe</t>
  </si>
  <si>
    <t>Zobowiązania krótkoterminowe</t>
  </si>
  <si>
    <t>W tym przypadku potencjalnie przydatna byłaby prowadzona analityka do kont kredyty z podziałem na kredyty krótkoterminowe i długoterminowe</t>
  </si>
  <si>
    <t>Kapitał podstawowy (akcyjny)</t>
  </si>
  <si>
    <t>to jest tzw. Agio</t>
  </si>
  <si>
    <t>saldo końcowe strony Ma zapisywane po stronie Wn</t>
  </si>
  <si>
    <t>oznacza to, że akcjonariusze powinni wpłacic jeszcze 1.5 mln PLN</t>
  </si>
  <si>
    <t>tyle środków firma posiada na rachunku bankowym</t>
  </si>
  <si>
    <t>Zobowiązania - kredyty</t>
  </si>
  <si>
    <t>Suma bilansowa (RAZEM)</t>
  </si>
  <si>
    <t>zgodnie z MSSF kapitał własny</t>
  </si>
  <si>
    <t>tylko faktycznie opłacony</t>
  </si>
  <si>
    <t>ale UoR wskazuje, że należy pokazać zadeklarowany</t>
  </si>
  <si>
    <t>rezerwa z tytułu odroczonego podatku dochodowego</t>
  </si>
  <si>
    <t>zabepiecze środki na płatność podatku w przyszłości</t>
  </si>
  <si>
    <t>wynika z tego, że przy obecnej wycenie aktywów, jakbym chciał je zbyć uzyskam dochód np. na poziomie 200</t>
  </si>
  <si>
    <t>mam akcje</t>
  </si>
  <si>
    <t>wycena w księgach</t>
  </si>
  <si>
    <t>na dzień bilansowy wyceniam</t>
  </si>
  <si>
    <t>jednak nie decyduje się na ich sprzedaż</t>
  </si>
  <si>
    <t>czyli jakbym sprzedał na dzień bilansowy to bym zapłacił podatek</t>
  </si>
  <si>
    <t>załóżmy, że w momencie sprzedazy akcje są warte</t>
  </si>
  <si>
    <t>KUP</t>
  </si>
  <si>
    <t>Koszty uzyskania przychodu</t>
  </si>
  <si>
    <t>nKUP</t>
  </si>
  <si>
    <t>niepodatkowe koszty uzyskania przychody</t>
  </si>
  <si>
    <t>mamy też</t>
  </si>
  <si>
    <t>różnice niezrealizawane i zrealizowane</t>
  </si>
  <si>
    <t>Kredyt 1</t>
  </si>
  <si>
    <t>wartość nominalna</t>
  </si>
  <si>
    <t>okres kredytowania</t>
  </si>
  <si>
    <t>lat</t>
  </si>
  <si>
    <t>wartość raty</t>
  </si>
  <si>
    <t>Kredyt 2</t>
  </si>
  <si>
    <t>wynik finansowy</t>
  </si>
  <si>
    <t>saldo końcowe strony Wn zapisywane po stronie Ma</t>
  </si>
  <si>
    <t>oznacza ono stratę spółki</t>
  </si>
  <si>
    <t>Zob. długoterminowe</t>
  </si>
  <si>
    <t>Zob. krótkoterminowe</t>
  </si>
  <si>
    <t>Kredyty bankowe</t>
  </si>
  <si>
    <t>to jest tzw. Agio czyli nadwyżka wynikające z różnicy</t>
  </si>
  <si>
    <t>pomiedzy ceną rynkową w momencie emisji a ceną nominalną</t>
  </si>
  <si>
    <t>SUMA bilansowa</t>
  </si>
  <si>
    <t>to jest wartość kap. Własnych</t>
  </si>
  <si>
    <t>liczona zgodnie z MSSF</t>
  </si>
  <si>
    <t>natomiast bilans jest sporzadzony zgodnie z UoR</t>
  </si>
  <si>
    <t>Mam jakieś aktywo, np. akcje</t>
  </si>
  <si>
    <t>wartość bilansowa (w ciągu roku)</t>
  </si>
  <si>
    <t>wycena akcji na dzień bilansowy</t>
  </si>
  <si>
    <t>wynik na sprzedaży akcji</t>
  </si>
  <si>
    <t>jakby sprzedać akcje na dzień bilansowy</t>
  </si>
  <si>
    <t>wynik finansowy na sprzedaży akcji niezrealizowany</t>
  </si>
  <si>
    <t>w przypadku sprzedaży podatek</t>
  </si>
  <si>
    <t>w ciągu roku sprzedano akcje za</t>
  </si>
  <si>
    <t>jakbym sprzedał akcje w danym momencie</t>
  </si>
  <si>
    <t>miesięczna rata kredytu</t>
  </si>
  <si>
    <t>części kapitałowej raty</t>
  </si>
  <si>
    <t>cześci odsetkowej raty</t>
  </si>
  <si>
    <t>żeby zrobić bilans zobowiązania należy podzielić na długoterminowe i krótkoterminowe, dobrym rozwiązaniem jest prowadzenie odpowiedniej analityki</t>
  </si>
  <si>
    <t>zysk/strata z działalności</t>
  </si>
  <si>
    <t>powyższe saldo końcowe oznacza stratę firmy</t>
  </si>
  <si>
    <t>Przykład 3</t>
  </si>
  <si>
    <t>Środki trwałe z budowie</t>
  </si>
  <si>
    <t>Zobowiązania wobec dostawców</t>
  </si>
  <si>
    <t>Rachunek bieżący</t>
  </si>
  <si>
    <t>5)</t>
  </si>
  <si>
    <t>Środki trwałe</t>
  </si>
  <si>
    <t>x</t>
  </si>
  <si>
    <t>Sp.</t>
  </si>
  <si>
    <t>Kredyt w rachunku</t>
  </si>
  <si>
    <t>Przykład 4</t>
  </si>
  <si>
    <t>Zobowiązania wobec kontrahentów</t>
  </si>
  <si>
    <t>Zobowiązania z tyt. Leasingu operacyjnego</t>
  </si>
  <si>
    <t>analityka - powtórzony zapis</t>
  </si>
  <si>
    <t>Usugi obce</t>
  </si>
  <si>
    <t>Zobowiązania leasingowe (l/ finansowy)</t>
  </si>
  <si>
    <t>Środki trwałe / prawo do użytkowania</t>
  </si>
  <si>
    <t>3-4)</t>
  </si>
  <si>
    <t>Amortyzacja</t>
  </si>
  <si>
    <t>Umorzenie środków trwałych</t>
  </si>
  <si>
    <t>6)</t>
  </si>
  <si>
    <t>Środki trwałe w budowie</t>
  </si>
  <si>
    <t>to saldo oznacza zadłużenie w rachunku bankowym</t>
  </si>
  <si>
    <t>tylko to jest zadłużenie w rachunku</t>
  </si>
  <si>
    <t>Zobowiązania z tyt. L. operacyjnego</t>
  </si>
  <si>
    <t>konto analityczne - zasada powtórzonego zapisu</t>
  </si>
  <si>
    <t>Usługi obce</t>
  </si>
  <si>
    <t>Środki trwałe / prawo do użytkowania (MSSF16)</t>
  </si>
  <si>
    <t>Zobowiązania z tyt. L. finansowego</t>
  </si>
  <si>
    <t>rachunek bankowy</t>
  </si>
  <si>
    <t>to saldo oznacza bardziej zadłużenie w rachunku</t>
  </si>
  <si>
    <t>to raczej kredyt w rachunku</t>
  </si>
  <si>
    <t>to jest koszt ("4")</t>
  </si>
  <si>
    <t>zasada powtórzonego zapisu - konto analityczne w stosunku do konta zobowiązania wobec kontrahentów\</t>
  </si>
  <si>
    <t>Zobowiązania z tyt. L. finansowego - Zobowiązania leasingowe</t>
  </si>
  <si>
    <t>Środki trwałe / prawo do użytkowania (wg MSSF16)</t>
  </si>
  <si>
    <t>Wynik finansowy</t>
  </si>
  <si>
    <t>Zapasy</t>
  </si>
  <si>
    <t>Ewidencja rochodu towarów</t>
  </si>
  <si>
    <t>AVCO</t>
  </si>
  <si>
    <t>FIFO</t>
  </si>
  <si>
    <t>LIFO</t>
  </si>
  <si>
    <t>spółka dokonuje zakupu towarów</t>
  </si>
  <si>
    <t>szt.</t>
  </si>
  <si>
    <t>Towary</t>
  </si>
  <si>
    <t>Sprzedaż towarów / przychody ze sprzedaży towarów</t>
  </si>
  <si>
    <t>Należności od odbiorców</t>
  </si>
  <si>
    <t>spółka sprzedała 250 szt. Za 200 PLN (stawka podatku VAT 23%)</t>
  </si>
  <si>
    <t>VAT należny</t>
  </si>
  <si>
    <t>Wartość sprzedanych towarów</t>
  </si>
  <si>
    <t>wydajemy towary 250 szt.</t>
  </si>
  <si>
    <t>7)</t>
  </si>
  <si>
    <t>rozchód</t>
  </si>
  <si>
    <t>Przykład 5</t>
  </si>
  <si>
    <t>VAT - naliczony</t>
  </si>
  <si>
    <t>Rozliczenie zakupu - towarów</t>
  </si>
  <si>
    <r>
      <t xml:space="preserve">Sk na 3 tys. To saldo końcowe strony Ma zapisywane po stronie Wn, </t>
    </r>
    <r>
      <rPr>
        <b/>
        <sz val="11"/>
        <color theme="1"/>
        <rFont val="Calibri"/>
        <family val="2"/>
        <charset val="238"/>
        <scheme val="minor"/>
      </rPr>
      <t xml:space="preserve">oznacza ono tzw. Dostawy niefakturowane </t>
    </r>
    <r>
      <rPr>
        <sz val="11"/>
        <color theme="1"/>
        <rFont val="Calibri"/>
        <family val="2"/>
        <charset val="238"/>
        <scheme val="minor"/>
      </rPr>
      <t>(bo mamy towar ale brak faktury, żeby móc zaksięgować zobowiązanie)</t>
    </r>
  </si>
  <si>
    <r>
      <t xml:space="preserve">Sk na 4 tys. PLN to saldo końcowe strony Wn zapisywane po stronie Ma, </t>
    </r>
    <r>
      <rPr>
        <b/>
        <sz val="11"/>
        <color theme="1"/>
        <rFont val="Calibri"/>
        <family val="2"/>
        <charset val="238"/>
        <scheme val="minor"/>
      </rPr>
      <t xml:space="preserve">oznacza ono tzw. Dostawy w drodze </t>
    </r>
    <r>
      <rPr>
        <sz val="11"/>
        <color theme="1"/>
        <rFont val="Calibri"/>
        <family val="2"/>
        <charset val="238"/>
        <scheme val="minor"/>
      </rPr>
      <t>(bo mamy fakturę ale oczekujemy na dostawę towarów)</t>
    </r>
  </si>
  <si>
    <t>rozliczenie zakupu - dostawy w drodze</t>
  </si>
  <si>
    <t>rozliczenie zakupu - dostawy niefakturowane</t>
  </si>
  <si>
    <t xml:space="preserve">Aktywa trwałe </t>
  </si>
  <si>
    <t>Aktywa obrotowe</t>
  </si>
  <si>
    <t>Zapasy - ewidencja rozchodu</t>
  </si>
  <si>
    <t>firma dokonywała zakupu towarów</t>
  </si>
  <si>
    <t>Zakupione towary otrzymała razem z fakturami VAT (podatek VAT 23%)</t>
  </si>
  <si>
    <t>VAT naliczony</t>
  </si>
  <si>
    <t>firma sprzedała 250 szt. za 300 PLN/szt. + podatek VAT (23%)</t>
  </si>
  <si>
    <t>sprzedaż towarów (przychody ze sprzedaży towarów)</t>
  </si>
  <si>
    <t>Należności od kontrahentów</t>
  </si>
  <si>
    <t>Wynik finansowy (wynik na sprzedaży)</t>
  </si>
  <si>
    <t>AVCO, FIFO, LIFO</t>
  </si>
  <si>
    <t>*firma jest płatnikiem podatku VAT</t>
  </si>
  <si>
    <r>
      <t xml:space="preserve">Saldo końcowe strony Ma zapisywane po stronie Wn oznacza </t>
    </r>
    <r>
      <rPr>
        <b/>
        <sz val="11"/>
        <color theme="1"/>
        <rFont val="Calibri"/>
        <family val="2"/>
        <charset val="238"/>
        <scheme val="minor"/>
      </rPr>
      <t>dostawy niefakturowane</t>
    </r>
  </si>
  <si>
    <r>
      <t xml:space="preserve">Saldo końcowe strony Wn zapisywane po stronie Ma oznacza </t>
    </r>
    <r>
      <rPr>
        <b/>
        <sz val="11"/>
        <color theme="1"/>
        <rFont val="Calibri"/>
        <family val="2"/>
        <charset val="238"/>
        <scheme val="minor"/>
      </rPr>
      <t>dostawy w drodze</t>
    </r>
  </si>
  <si>
    <t>Aktywa trwałe</t>
  </si>
  <si>
    <t>rozliczenie zakupu - towary w drodze</t>
  </si>
  <si>
    <t>ewidencja rochodu - AVCO, FIFO, LIFO</t>
  </si>
  <si>
    <t xml:space="preserve">firma dokonała zakupu towarów </t>
  </si>
  <si>
    <t>*założmy, że firma jest podatnikiem podatku VAT</t>
  </si>
  <si>
    <t>Firma sprzedała 250 szt. za 300 PLN + 23% podatku VAT</t>
  </si>
  <si>
    <t>Sprzedaż towarów (przychody ze sprzedaży towarów)</t>
  </si>
  <si>
    <t>sprawdzenie</t>
  </si>
  <si>
    <t>wartość rozchodu</t>
  </si>
  <si>
    <t>wynik na sprzedaży</t>
  </si>
  <si>
    <t>Rozliczenie zakupu towarów</t>
  </si>
  <si>
    <t>sk</t>
  </si>
  <si>
    <r>
      <t xml:space="preserve">Sk strony Ma zapisywane po stronie Wn oznacza </t>
    </r>
    <r>
      <rPr>
        <b/>
        <sz val="11"/>
        <color theme="1"/>
        <rFont val="Calibri"/>
        <family val="2"/>
        <charset val="238"/>
        <scheme val="minor"/>
      </rPr>
      <t xml:space="preserve">dosawy niefakturowane </t>
    </r>
    <r>
      <rPr>
        <sz val="11"/>
        <color theme="1"/>
        <rFont val="Calibri"/>
        <family val="2"/>
        <charset val="238"/>
        <scheme val="minor"/>
      </rPr>
      <t>(mamy dostawę towarów ale trwa oczekiwanie na fakturę)</t>
    </r>
  </si>
  <si>
    <r>
      <t xml:space="preserve">Sk strony Wn zapisywane po stronie Ma oznacza </t>
    </r>
    <r>
      <rPr>
        <b/>
        <sz val="11"/>
        <color theme="1"/>
        <rFont val="Calibri"/>
        <family val="2"/>
        <charset val="238"/>
        <scheme val="minor"/>
      </rPr>
      <t xml:space="preserve">dostawy w drodze </t>
    </r>
    <r>
      <rPr>
        <sz val="11"/>
        <color theme="1"/>
        <rFont val="Calibri"/>
        <family val="2"/>
        <charset val="238"/>
        <scheme val="minor"/>
      </rPr>
      <t>(mamy fakturę oczekujemy na dostawę towarów)</t>
    </r>
  </si>
  <si>
    <t>Zobowiązania dłuterminowe</t>
  </si>
  <si>
    <t>Przykład 6</t>
  </si>
  <si>
    <t>sp.</t>
  </si>
  <si>
    <t>na tym koncie powinno zostać zaksięgowane wydanie towarów wynikających z op. 1, wynka to z zasady wsół miernosci przychodów i kosztów</t>
  </si>
  <si>
    <t>1a)</t>
  </si>
  <si>
    <t>założenie, dodatkowe do przykładu, wynikające z zasady wpółmierności, wartość sprzedanych i wydanych towarów</t>
  </si>
  <si>
    <t>Należności</t>
  </si>
  <si>
    <t>Sprzedaż towarów</t>
  </si>
  <si>
    <t>założenie marża 50%</t>
  </si>
  <si>
    <t>2a)</t>
  </si>
  <si>
    <t>wyksięgowanie ponieważ jest to faktoring pełny</t>
  </si>
  <si>
    <t>Rozrachunki z faktorem</t>
  </si>
  <si>
    <t>nalezność bo dyskonto 90%</t>
  </si>
  <si>
    <t xml:space="preserve">tutaj dodatkowa informacja o moich zobowiązaniach wobec faktora </t>
  </si>
  <si>
    <t>zdaża się, że firmy nie księgują operacji 5 i 6 ponieważ przebiegają one "szybko"</t>
  </si>
  <si>
    <t>Należności (od odbiorców)</t>
  </si>
  <si>
    <t>to nie koniec księgowania operacji bo zgodnie z zasadą współmierności przychodów i kosztów</t>
  </si>
  <si>
    <t>to przychodu należy przyporządkować koszt</t>
  </si>
  <si>
    <t>przy sprzedaży towarów współmietnym kosztem będzie koszt sprzedanych towarów (bo musimy je wydać)</t>
  </si>
  <si>
    <t>załóżmy marża 40%</t>
  </si>
  <si>
    <t>7a)</t>
  </si>
  <si>
    <t>tylko to jest robione bardziej technicznie</t>
  </si>
  <si>
    <t>należnść cały czas przysługuje sprzedawcy</t>
  </si>
  <si>
    <t>bo faktoring niepełny (sprzedawca, cały czas jest za nią odpowiedzialny)</t>
  </si>
  <si>
    <t>to 190 tys. PLN to jest tzw. Pożyczka faktoringowa, jak kontrahent nie ureguluje swojego zobowiązania</t>
  </si>
  <si>
    <t>cały czas jest ryzyko wykonania przez faktora regresu, z tytułu płtności za fakture</t>
  </si>
  <si>
    <t>tutaj jest cała kwota wynikająca z rozrachunków handlowych</t>
  </si>
  <si>
    <t>ponieważ jak faktor nie uzyska całej kwoty wynikającej z faktury</t>
  </si>
  <si>
    <t>to będzie domagał się odzyskania przekazanych środków pieniężnych oraz kwoty "dyskonta"</t>
  </si>
  <si>
    <t>Przychody ze sprzedaży towarów (sprzedaż towarów)</t>
  </si>
  <si>
    <t>tutaj podwójny zapis strona ma (ten sam numer operacji ta sama operacje)</t>
  </si>
  <si>
    <t>natomiast jest jeszcze zasada wpółmierność przychodów i kosztów</t>
  </si>
  <si>
    <t>Sp</t>
  </si>
  <si>
    <t>8)</t>
  </si>
  <si>
    <t>ponieważ nalezność od odbiorców z Zjednoczonych Emiratów Arabskich, są "rozliczane" z ramach faktoringu niepłenego, to cały czas firma jest za nie odpowiedzialna, powinna wykazywać je w księgach</t>
  </si>
  <si>
    <t>Przykład 7</t>
  </si>
  <si>
    <t>Przychody finansowe</t>
  </si>
  <si>
    <t>3*)</t>
  </si>
  <si>
    <t>Zobowiązania CP</t>
  </si>
  <si>
    <t>Przykład 8</t>
  </si>
  <si>
    <t>Zobowiązania wekslowe</t>
  </si>
  <si>
    <t>"odsetki wekslowe"</t>
  </si>
  <si>
    <t>Przychody ze sprzedaży towarów</t>
  </si>
  <si>
    <t>Weksle obce</t>
  </si>
  <si>
    <t>Weksle obce dyskontowane lub insdosowane</t>
  </si>
  <si>
    <t>Konto pozabilansowe !!!</t>
  </si>
  <si>
    <t>Należności cash-poolingowe</t>
  </si>
  <si>
    <t>Odsetki naliczone (CP, należności)</t>
  </si>
  <si>
    <t>Odsetki naliczone (CP, zobowiązania)</t>
  </si>
  <si>
    <t>Koszt finansowy</t>
  </si>
  <si>
    <t>Weksle obce dyskontowane lub indosowane</t>
  </si>
  <si>
    <t>Przy wesklach własnych - jak je dyskontujemy lub indosujemy konieczne jest księgowanie na koncie pozabilansowym</t>
  </si>
  <si>
    <t>Weksle własne</t>
  </si>
  <si>
    <t>Przychody ze sprzedaży towarów / sprzeż towarów</t>
  </si>
  <si>
    <t>ta operacja powinna być zapisana na koncie pozabilnasowym</t>
  </si>
  <si>
    <t>Rozrachunki publiczno prawne</t>
  </si>
  <si>
    <t>Producent</t>
  </si>
  <si>
    <t>Hurtownik</t>
  </si>
  <si>
    <t>Detalista</t>
  </si>
  <si>
    <t>Konsument - odbiorca końcowy</t>
  </si>
  <si>
    <t>koszt wytworzenia przez producenta</t>
  </si>
  <si>
    <t>wartość zakupionego produktu przez hurtownika</t>
  </si>
  <si>
    <t>wartość towaru zakupionego przez detaliste</t>
  </si>
  <si>
    <t>cena zakupu towaru przez "klienta"</t>
  </si>
  <si>
    <t>netto</t>
  </si>
  <si>
    <t>VAT</t>
  </si>
  <si>
    <t>to jest cena końcowa płacona przez odbiorce końcowego</t>
  </si>
  <si>
    <t>w tym przypadku, jeśli odbiorca końcowy nie jest podatnikiem podatku VAT</t>
  </si>
  <si>
    <t>nie ma on możliwości "odzyskania" podatku VAT</t>
  </si>
  <si>
    <t>wynika ogniwa na transakcji</t>
  </si>
  <si>
    <t xml:space="preserve">ten podatek VAT, co do zasady można odzyskać od US </t>
  </si>
  <si>
    <t>przy okazji często wykorzystuje się metodę pośredniąm, tzn. od podatku VAT należnego odejmuje się naliczony</t>
  </si>
  <si>
    <t>Producenta</t>
  </si>
  <si>
    <t>koszt materiałów zużytych do wytworzenia produktu</t>
  </si>
  <si>
    <t>koszt energii</t>
  </si>
  <si>
    <t>koszty pracowników</t>
  </si>
  <si>
    <t>pozostałe koszty</t>
  </si>
  <si>
    <t>Zużycie materiałów i energii</t>
  </si>
  <si>
    <t>Wynagrodzenia oraz inne świadczenia na rzecz pracowników</t>
  </si>
  <si>
    <t>Zobowiązania wobec pracowników</t>
  </si>
  <si>
    <t>Zobowiązania wobec US oraz ZUS</t>
  </si>
  <si>
    <t>to jest kwota brutto "kosztów" pracowniczych</t>
  </si>
  <si>
    <t>Inne koszty rodzajowe</t>
  </si>
  <si>
    <t>Rozliczenie kosztów rodzajowych 490</t>
  </si>
  <si>
    <t>Koszty produkcyjne - to tzw. "5" - konto 5 zespołu zakładowego planu kont</t>
  </si>
  <si>
    <t>Wyroby gotowe</t>
  </si>
  <si>
    <t>Sprzedaż produktów</t>
  </si>
  <si>
    <t>Koszt sprzedanych produktów</t>
  </si>
  <si>
    <t>Rozrachunki z US z tyt. VAT</t>
  </si>
  <si>
    <t>9)</t>
  </si>
  <si>
    <t>hurtownik</t>
  </si>
  <si>
    <t>detalista</t>
  </si>
  <si>
    <t>konsument (odbiorca końcowy)</t>
  </si>
  <si>
    <t>cena sprzedaży ogniwa</t>
  </si>
  <si>
    <t>cena zakupu ogniwa</t>
  </si>
  <si>
    <t>to jest cena zapłacona za produkt przez klienta końcowego</t>
  </si>
  <si>
    <t>producent przy wytworzeniu produktów poniósł następujące koszty</t>
  </si>
  <si>
    <t>wykorzystane matariały</t>
  </si>
  <si>
    <t>wykorzystana energia el.</t>
  </si>
  <si>
    <t>przy kosztach pracowniczych nie ma podatku VAT</t>
  </si>
  <si>
    <t>przy założeniu, że 20 to netto to 28.17 to brutto</t>
  </si>
  <si>
    <t>to jest wartość tzw. Brutto brutto</t>
  </si>
  <si>
    <t>to wynika z przeliczenia wartosci brutto na brutto brutto - dodatkowe obciążenie pracowawcy</t>
  </si>
  <si>
    <t>zużycie materiałów i energii</t>
  </si>
  <si>
    <t>koszty pracownicze - wynagrodzenie</t>
  </si>
  <si>
    <t>brutto</t>
  </si>
  <si>
    <t>Wynagrodzenia</t>
  </si>
  <si>
    <t>to można utożsamić z wynagrodzeniem z umowy o prace</t>
  </si>
  <si>
    <t>Rozrachunki z pracownikami</t>
  </si>
  <si>
    <t>Rozrachunki z US, ZUS</t>
  </si>
  <si>
    <t>Świadczenia na rzecz pracowników</t>
  </si>
  <si>
    <t>3a)</t>
  </si>
  <si>
    <t>Pozostałe koszty rodzajowe</t>
  </si>
  <si>
    <t>Rozliczenia kosztów rodzajowych - 490</t>
  </si>
  <si>
    <t>Koszty produkcji</t>
  </si>
  <si>
    <t>3b)</t>
  </si>
  <si>
    <t>4a)</t>
  </si>
  <si>
    <t>Koszt wyrobów gotowych (sprzedanych produktów)</t>
  </si>
  <si>
    <t>rozrachunki z US - VAT</t>
  </si>
  <si>
    <t>Konsument końcowy</t>
  </si>
  <si>
    <t>cena sprzedaży przez ogniwo - netto</t>
  </si>
  <si>
    <t>cena sprzeday do kolejnego ogniwa - brutto</t>
  </si>
  <si>
    <t>konsument końcowy nie może odzyskać podatku VAT czyli dla niego cena brutto jest niejako netto</t>
  </si>
  <si>
    <t>producent w ramach wytwarzania produktów poniósł koszty:</t>
  </si>
  <si>
    <t>zużycie materiałów</t>
  </si>
  <si>
    <t>zużycie energii</t>
  </si>
  <si>
    <t>pracownicze</t>
  </si>
  <si>
    <t>brutto brutto - tzw. Koszty pracownicze, osobowe</t>
  </si>
  <si>
    <t>Rozrachunki z US i ZUS</t>
  </si>
  <si>
    <t>3a</t>
  </si>
  <si>
    <t>Koszty produktyjne
(konto 5 Zespołku ZPK)</t>
  </si>
  <si>
    <t>1a</t>
  </si>
  <si>
    <t>2a</t>
  </si>
  <si>
    <t>Sprzedaż produktów / wyrobów gotowych</t>
  </si>
  <si>
    <t>Koszty sprzedanych wyrobów gotowych</t>
  </si>
  <si>
    <t>Rozrachunki US - VAT</t>
  </si>
  <si>
    <t xml:space="preserve">wynagrodzenie brutto </t>
  </si>
  <si>
    <t>obciążenie pracodawcy:</t>
  </si>
  <si>
    <t>Ubezpieczenie emerytalne</t>
  </si>
  <si>
    <t>Ubezpieczenie rentowe</t>
  </si>
  <si>
    <t>Ubezpieczenie wypadkowe</t>
  </si>
  <si>
    <t>Fundusz Pracy</t>
  </si>
  <si>
    <t>Fundusz Gwarantowanych Świadczeń Pracowniczych</t>
  </si>
  <si>
    <t>Razem obciążenie pracodawcy z tytułu składek na ZUS:</t>
  </si>
  <si>
    <t>obciążenie pracownika:</t>
  </si>
  <si>
    <t>Ubezpieczenie chorobowe</t>
  </si>
  <si>
    <t>Razem obciążenie pracownika z tytułu składek na ZUS:</t>
  </si>
  <si>
    <t>minus koszty uzyskania przychodu</t>
  </si>
  <si>
    <t>podstawa naliczenia podatku zaokrąglona do PLN</t>
  </si>
  <si>
    <t>składka na ubezpieczenie zdrowotne według stawki 9%</t>
  </si>
  <si>
    <t>wynagrodzenie netto</t>
  </si>
  <si>
    <t xml:space="preserve">podatek dochodowy według stawki 12% </t>
  </si>
  <si>
    <t>minus miesięczna ulga podatkowa / tzw. kwota wolna od podatku od 1.01.2020 planowane kwota to 525.12 zł</t>
  </si>
  <si>
    <t>naliczono wynagrodzenia</t>
  </si>
  <si>
    <t>naliczono obciążenia pracodawcy z tytułu zatrudnienia pracowników</t>
  </si>
  <si>
    <t>naliczono obciążenia pracownika</t>
  </si>
  <si>
    <t>składki na ZUS</t>
  </si>
  <si>
    <t>składka zdrowotna</t>
  </si>
  <si>
    <t>zaliczka na podatek dochodowy</t>
  </si>
  <si>
    <t>Inne świadczenia na rzecz pracowników</t>
  </si>
  <si>
    <t>Zobowiązania wobec ZUS</t>
  </si>
  <si>
    <t>3b</t>
  </si>
  <si>
    <t>3c</t>
  </si>
  <si>
    <t>Zobowiązania wobec US</t>
  </si>
  <si>
    <t>ZUS</t>
  </si>
  <si>
    <t>NFZ</t>
  </si>
  <si>
    <t>US</t>
  </si>
  <si>
    <t>mieć umowe o prace - podstawa Kodeks Pracy</t>
  </si>
  <si>
    <t>mieć umowy cywilno-prawne</t>
  </si>
  <si>
    <t>umowe zlecenie - podstawa Kodeks Cywilny</t>
  </si>
  <si>
    <t>umowa o dzieło - podstawa Kodeks Cywilny</t>
  </si>
  <si>
    <t>tzw. Umowy B2B - czyli firma z firmą</t>
  </si>
  <si>
    <t>pracownik dojeżdzający</t>
  </si>
  <si>
    <t>płaca brutto po potrąceniu składek ubezpieczeniowych Podstawa wymiaru składki zdrowotnej</t>
  </si>
  <si>
    <t>łączny koszt pracowniczy/osobowy</t>
  </si>
  <si>
    <t>naliczenie wynagrodzenia</t>
  </si>
  <si>
    <t>rozliczenie wynagrodzenia</t>
  </si>
  <si>
    <t>ZUS pracownika</t>
  </si>
  <si>
    <t>NFZ pracownika</t>
  </si>
  <si>
    <t>naliczenie obciążenia pracodawcy z tytułu zatrudnienia pracowników</t>
  </si>
  <si>
    <t>Jeżeli chodzi o możliwości współpracy z pracownikami to można:</t>
  </si>
  <si>
    <t>Umowa zlecenie</t>
  </si>
  <si>
    <t>koszty uzyskania przychodów - 20%</t>
  </si>
  <si>
    <t>Podstawa wymiaru składki zdrowotnej</t>
  </si>
  <si>
    <t>Podstawa opodatkowania</t>
  </si>
  <si>
    <t>kwota zmniejszająca podatek</t>
  </si>
  <si>
    <t>naliczenie podatku</t>
  </si>
  <si>
    <t>zaliczka</t>
  </si>
  <si>
    <t>Zobowiązanie wobec US</t>
  </si>
  <si>
    <t>Wynagrodzenie brutto</t>
  </si>
  <si>
    <t>Rachunek zysków i strat Przychody Koszty</t>
  </si>
  <si>
    <t>1. Firma otrzymała dotacje na zakup środka trwałego - samochód</t>
  </si>
  <si>
    <t>2. Firma zakupiła samochów ze środków z otrzymanej dotacji</t>
  </si>
  <si>
    <t>Zakupiony samochód wprowadzono do ksiąg</t>
  </si>
  <si>
    <t>Dotacja wpłynęła  na rachunek bankowy</t>
  </si>
  <si>
    <t>Przychody przyszłych okresów</t>
  </si>
  <si>
    <t>3. Firma naliczyła amortyzację miesięczną samochodu - amortyzacja liniowa 20%</t>
  </si>
  <si>
    <t>Pozostałe przychody operacyjne</t>
  </si>
  <si>
    <t>powyższe ksiegowanie wynika z potrzeby zachowania</t>
  </si>
  <si>
    <t>zasady współmietności przychodów i kosztów</t>
  </si>
  <si>
    <t>Krąg kosztów</t>
  </si>
  <si>
    <t>oznacza ona, że w "dużym" uproszczeniu koszty ewidencjonowane na "4" powinny być w całości przeniesione na "5"</t>
  </si>
  <si>
    <t>Zaksięgowano amortyzacje</t>
  </si>
  <si>
    <t>Zaksięgowano zużycie materiałów i energii</t>
  </si>
  <si>
    <t>Zaksięgowano koszty usług obcych</t>
  </si>
  <si>
    <t>Powyższe to koszty proste - księgowane na "4"</t>
  </si>
  <si>
    <t>Firma wytwarza produkty, prowadzi ewidnecje na "4" i "5"</t>
  </si>
  <si>
    <t>Firma przeniosła koszty proste na koszty wytworzenia, z czego</t>
  </si>
  <si>
    <t>koszty produkcji podstawowej</t>
  </si>
  <si>
    <t>koszty sprzedaży</t>
  </si>
  <si>
    <t>koszty zarządu</t>
  </si>
  <si>
    <t>Zuzycie materiałów i energii</t>
  </si>
  <si>
    <t>Zobowiązania</t>
  </si>
  <si>
    <t>Firma otrzymała dotacje na zakup środka trwałego - samochód</t>
  </si>
  <si>
    <t>Firma naliczyła amortyzację miesięczną samochodu - amortyzacja liniowa 20%</t>
  </si>
  <si>
    <t>to jest konto bilansowe - "widoczne" w pasywach bilansu</t>
  </si>
  <si>
    <t>Firma zakupiła samochód ze środków z otrzymanej dotacji</t>
  </si>
  <si>
    <t xml:space="preserve">Śordki trwałe </t>
  </si>
  <si>
    <t>rozliczono przychody wynikające z dotacji</t>
  </si>
  <si>
    <t>powyższe księgowanie /ewidencja/ wynika z zachowania</t>
  </si>
  <si>
    <t>zasady współmierności (przychodów i kosztów)</t>
  </si>
  <si>
    <t>490 (rozliczenie kosztów rodz.)</t>
  </si>
  <si>
    <t>rozliczono koszty rodzajowe</t>
  </si>
  <si>
    <t>to jest kontro bilansowe,  widoczne w pasywach bilansu</t>
  </si>
  <si>
    <t>Środki trwałe - samochody</t>
  </si>
  <si>
    <t>księgowanie wynika z konieczności zachowania</t>
  </si>
  <si>
    <t>zasady WSPÓŁMIERNOŚCI</t>
  </si>
  <si>
    <t>wynik finasniowy (860)</t>
  </si>
  <si>
    <t>Rachunek zysków i strat Przychody Koszty cz. 2 (15-12-2025)</t>
  </si>
  <si>
    <t>Przykład 9</t>
  </si>
  <si>
    <t>Rozliczenia międzyokresowe</t>
  </si>
  <si>
    <t>3A)</t>
  </si>
  <si>
    <t>w bilansie</t>
  </si>
  <si>
    <t>- to powinno być widoczne</t>
  </si>
  <si>
    <t>Przykład 10</t>
  </si>
  <si>
    <t>Pozostałe koszty operacyjne</t>
  </si>
  <si>
    <t>Inwestycje</t>
  </si>
  <si>
    <t>Straty nadzyczajne</t>
  </si>
  <si>
    <t>czasami ewidencja jest robona na specjalnym koncie korygującym - aktualizacja wartości</t>
  </si>
  <si>
    <t>(zużycia maszyny zakupionej z dotacji)</t>
  </si>
  <si>
    <t xml:space="preserve">to jest współmierny przychód do kosztu amortyzacji </t>
  </si>
  <si>
    <t>to jest konto bilansowe, ujawniane w bilansie</t>
  </si>
  <si>
    <t>Straty nadzwyczajne</t>
  </si>
  <si>
    <t>potencjalnie może zdazyć się</t>
  </si>
  <si>
    <t>sytuacja, w której dla konta towary</t>
  </si>
  <si>
    <t>będzie funkcjonować dodatkowe</t>
  </si>
  <si>
    <t>konto korygujące</t>
  </si>
  <si>
    <t>Zyski nadzwyczajne</t>
  </si>
  <si>
    <t>10)</t>
  </si>
  <si>
    <t>860 - Wynik finansowy</t>
  </si>
  <si>
    <t>11)</t>
  </si>
  <si>
    <t>to saldo oznacza dodatni wynik finansowy</t>
  </si>
  <si>
    <t>Rozliczenie wyniku finansowego</t>
  </si>
  <si>
    <t>Koszt własny sprzedanych towarów</t>
  </si>
  <si>
    <t>Inwestycje niefinansowe</t>
  </si>
  <si>
    <t>w tym przypadku można</t>
  </si>
  <si>
    <t>spotkać się z sytuacją</t>
  </si>
  <si>
    <t>w której firma zaksięguje to na oddzielnym</t>
  </si>
  <si>
    <t>koncie razrachunkowym</t>
  </si>
  <si>
    <t>Zyski nadzyczajne</t>
  </si>
  <si>
    <t>konta wynikowe</t>
  </si>
  <si>
    <t>potencjalnie dopuszczalny uproszczony schemat księgowań</t>
  </si>
  <si>
    <t>to jest konto bilansowe, ujawniane w bilansie =&gt; aktywa</t>
  </si>
  <si>
    <t>Czynne rozliczenia międzyokresowe kosztów</t>
  </si>
  <si>
    <t>współmierny przychód do kosztu amortyzacji środków zakupionych z dotacji</t>
  </si>
  <si>
    <t>to jest konro bilansowe, rozliczenia będą ujawniane w bilansie =&gt; aktywa</t>
  </si>
  <si>
    <t>Rachunek wyników</t>
  </si>
  <si>
    <t>Rachunek zysków i strat</t>
  </si>
  <si>
    <t>(wariant kalkulacyjny)</t>
  </si>
  <si>
    <t>A. Przychody netto ze sprzedaży produktów, towarów i materiałów, w tym:</t>
  </si>
  <si>
    <t>– od jednostek powiązanych</t>
  </si>
  <si>
    <t>I. Przychody netto ze sprzedaży produktów</t>
  </si>
  <si>
    <t>II. Przychody netto ze sprzedaży towarów i materiałów</t>
  </si>
  <si>
    <t>B. Koszty sprzedanych produktów, towarów i materiałów, w tym:</t>
  </si>
  <si>
    <t>– jednostkom powiązanym</t>
  </si>
  <si>
    <t>I. Koszt wytworzenia sprzedanych produktów</t>
  </si>
  <si>
    <t>II. Wartość sprzedanych towarów i materiałów</t>
  </si>
  <si>
    <t>C. Zysk (strata) brutto ze sprzedaży (A–B)</t>
  </si>
  <si>
    <t>D. Koszty sprzedaży</t>
  </si>
  <si>
    <t>E. Koszty ogólnego zarządu</t>
  </si>
  <si>
    <t>F. Zysk (strata) ze sprzedaży (C–D–E)</t>
  </si>
  <si>
    <t>G. Pozostałe przychody operacyjne</t>
  </si>
  <si>
    <t>I. Zysk z tytułu rozchodu niefinansowych aktywów trwałych</t>
  </si>
  <si>
    <t>II. Dotacje</t>
  </si>
  <si>
    <t>III. Aktualizacja wartości aktywów niefinansowych</t>
  </si>
  <si>
    <t>IV. Inne przychody operacyjne</t>
  </si>
  <si>
    <t>H. Pozostałe koszty operacyjne</t>
  </si>
  <si>
    <t>I. Strata z tytułu rozchodu niefinansowych aktywów trwałych</t>
  </si>
  <si>
    <t>II. Aktualizacja wartości aktywów niefinansowych</t>
  </si>
  <si>
    <t>III. Inne koszty operacyjne</t>
  </si>
  <si>
    <t>I. Zysk (strata) z działalności operacyjnej (F+G–H)</t>
  </si>
  <si>
    <t>J. Przychody finansowe</t>
  </si>
  <si>
    <t>I. Dywidendy i udziały w zyskach, w tym:</t>
  </si>
  <si>
    <t>a) od jednostek powiązanych, w tym:</t>
  </si>
  <si>
    <t>– w których jednostka posiada zaangażowanie w kapitale</t>
  </si>
  <si>
    <t>b) od jednostek pozostałych, w tym:</t>
  </si>
  <si>
    <t>II. Odsetki, w tym:</t>
  </si>
  <si>
    <t>III. Zysk z tytułu rozchodu aktywów finansowych, w tym:</t>
  </si>
  <si>
    <t>– w jednostkach powiązanych</t>
  </si>
  <si>
    <t>IV. Aktualizacja wartości aktywów finansowych</t>
  </si>
  <si>
    <t>V. Inne</t>
  </si>
  <si>
    <t>K. Koszty finansowe</t>
  </si>
  <si>
    <t>I. Odsetki, w tym:</t>
  </si>
  <si>
    <t>– dla jednostek powiązanych</t>
  </si>
  <si>
    <t>II. Strata z tytułu rozchodu aktywów finansowych, w tym:</t>
  </si>
  <si>
    <t>III. Aktualizacja wartości aktywów finansowych</t>
  </si>
  <si>
    <t>IV. Inne</t>
  </si>
  <si>
    <t>L. Zysk (strata) brutto (I+J–K)</t>
  </si>
  <si>
    <t>M. Podatek dochodowy</t>
  </si>
  <si>
    <t>N. Pozostałe obowiązkowe zmniejszenia zysku (zwiększenia straty)</t>
  </si>
  <si>
    <t>O. Zysk (strata) netto (L–M–N)</t>
  </si>
  <si>
    <t>(wariant porównawczy)</t>
  </si>
  <si>
    <t>A. Przychody netto ze sprzedaży i zrównane z nimi, w tym:</t>
  </si>
  <si>
    <t>II. Zmiana stanu produktów (zwiększenie – wartość dodatnia, zmniejszenie – wartość ujemna)</t>
  </si>
  <si>
    <t>III. Koszt wytworzenia produktów na własne potrzeby jednostki</t>
  </si>
  <si>
    <t>IV. Przychody netto ze sprzedaży towarów i materiałów</t>
  </si>
  <si>
    <t>B. Koszty działalności operacyjnej</t>
  </si>
  <si>
    <t>I. Amortyzacja</t>
  </si>
  <si>
    <t>II. Zużycie materiałów i energii</t>
  </si>
  <si>
    <t>III. Usługi obce</t>
  </si>
  <si>
    <t>IV. Podatki i opłaty, w tym:</t>
  </si>
  <si>
    <t>– podatek akcyzowy</t>
  </si>
  <si>
    <t>V. Wynagrodzenia</t>
  </si>
  <si>
    <t>VI. Ubezpieczenia społeczne i inne świadczenia, w tym:</t>
  </si>
  <si>
    <t>– emerytalne</t>
  </si>
  <si>
    <t>VII. Pozostałe koszty rodzajowe</t>
  </si>
  <si>
    <t>VIII. Wartość sprzedanych towarów i materiałów</t>
  </si>
  <si>
    <t>C. Zysk (strata) ze sprzedaży (A–B)</t>
  </si>
  <si>
    <t>D. Pozostałe przychody operacyjne</t>
  </si>
  <si>
    <t>E. Pozostałe koszty operacyjne</t>
  </si>
  <si>
    <t>F. Zysk (strata) z działalności operacyjnej (C+D–E)</t>
  </si>
  <si>
    <t>G. Przychody finansowe</t>
  </si>
  <si>
    <t>H. Koszty finansowe</t>
  </si>
  <si>
    <t>I. Zysk (strata) brutto (F+G–H)</t>
  </si>
  <si>
    <t>J. Podatek dochodowy</t>
  </si>
  <si>
    <t>K. Pozostałe obowiązkowe zmniejszenia zysku (zwiększenia straty)</t>
  </si>
  <si>
    <t>L. Zysk (strata) netto (I–J–K)</t>
  </si>
  <si>
    <t>Zaliczenie</t>
  </si>
  <si>
    <t>wprowadzić do ewidencji księgowej (zaksięgować) oraz sporządzić bilans</t>
  </si>
  <si>
    <t>(przykład 1-3)</t>
  </si>
  <si>
    <t>2. Firma w ramach prowadzonej działalności skorzystała z faktoringu.</t>
  </si>
  <si>
    <t>(przykład 6)</t>
  </si>
  <si>
    <t>wprowadzić do ewidencji księgowej (zaksięgować) wskazane operacje gospodarcze oraz sporządzić rachunek wyników</t>
  </si>
  <si>
    <t>(przykład 10)</t>
  </si>
  <si>
    <t>Na zaliczenie można mieć:</t>
  </si>
  <si>
    <t>2. Zakładowy plan kont</t>
  </si>
  <si>
    <t xml:space="preserve">1. Ustawę i rachunkowści </t>
  </si>
  <si>
    <t>3. Kalkulator</t>
  </si>
  <si>
    <t>1. Założenie firmy, zakup podstawowych składników majątku (np. środki trwałe)</t>
  </si>
  <si>
    <t>Emisja akcji, agio, należne wpłaty na kapitał własny, zaciągnięcie kredytu, zakup środków trwałych</t>
  </si>
  <si>
    <t>Faktoring pełny.</t>
  </si>
  <si>
    <t>3.  Firma w ramach prowadzonej działalności uzyskała przychody i poniosła koszty.</t>
  </si>
  <si>
    <t>liczby ujemne piszemy w nawiasie</t>
  </si>
  <si>
    <t>w RZiS pokazać tylko wiersze, w których występują wartości dodatnie</t>
  </si>
  <si>
    <t>przychody ze sprzedaży towarów (oraz współmierne koszty)</t>
  </si>
  <si>
    <t>pozostałe przychody i koszty operacyjne w tym wynik na sprzedazy składników majątku</t>
  </si>
  <si>
    <t>przychody i koszty finansowe w tym pozycje wykazywane per saldo</t>
  </si>
  <si>
    <t>koszty rodzajowe jak np. wynagrodzenia, usługi obce etc.</t>
  </si>
  <si>
    <t>w tym przykładzie mogą znaleźć się:</t>
  </si>
  <si>
    <t>Należne wpłaty na KW, agio, zakup składnika majątku (ŚT, kwestia ustalenia ceny nabycia - środki trwałe w budowie) i wykorzystanie leasingu</t>
  </si>
  <si>
    <t>(Przykłady 1-4)</t>
  </si>
  <si>
    <t>Przeprowadź ewidencję operacji gospodarczych - naliczenie i wypłata wynagrodzeń.</t>
  </si>
  <si>
    <t>*podane będą stawki ubezpieczeń (społecznych oraz zdrowotnego)</t>
  </si>
  <si>
    <t>(Przykład Rozrachunki z pracownikami)</t>
  </si>
  <si>
    <t>3. Firma w ramach prowadzonej działalności gospodarczej wypracowała wynik finansowy (osiągając przychody i ponosząc koszty).</t>
  </si>
  <si>
    <t>przychody ze sprzedaży towarów (oraz współmierne do nich koszty)</t>
  </si>
  <si>
    <t>koszty rodzajowe jak np. wynagrodzenia, usługi obce, zużycie materiałów i energii, wynagrodzenia, etc.</t>
  </si>
  <si>
    <t>O czym pamietać na zaliczeniu:</t>
  </si>
  <si>
    <t>1. Można mieć ze sobą:</t>
  </si>
  <si>
    <t>c) Kalkulator</t>
  </si>
  <si>
    <t>a) Liczby ujemne wpisujemy w nawiasach</t>
  </si>
  <si>
    <t>b) W UoR, ZPK można mieć pewne rzeczy popodkreślane lub oznaczone kolorem</t>
  </si>
  <si>
    <t>a) Ustawe o rachunkowości (ale niekoniecznie całą) (UoR)</t>
  </si>
  <si>
    <t>b) Zakładowy plan kont (ZPK)</t>
  </si>
  <si>
    <t>2. Należy pamiętać:</t>
  </si>
  <si>
    <t>c) test 20 pytań, jednokrotny wybór, brak punktów ujemnych</t>
  </si>
  <si>
    <t>pytania z prezentacji oraz mogą pojawić się krótkie "mikrozadania"</t>
  </si>
  <si>
    <t>nie będzie trzeba liczyć wyniku netto, tylko brutto</t>
  </si>
  <si>
    <t>2. Firma prowadzi działalność gospodarczą i zatrudnia pracowników, którym naliczyła wynagrodzenia.</t>
  </si>
  <si>
    <r>
      <t xml:space="preserve">Przeprowadź ewidencję operacji gospodarczych oraz sporzadź </t>
    </r>
    <r>
      <rPr>
        <b/>
        <sz val="11"/>
        <color theme="1"/>
        <rFont val="Calibri"/>
        <family val="2"/>
        <charset val="238"/>
        <scheme val="minor"/>
      </rPr>
      <t>bilans</t>
    </r>
  </si>
  <si>
    <r>
      <t xml:space="preserve">Przeprowadź ewidencję operacji gospodarczych oraz </t>
    </r>
    <r>
      <rPr>
        <b/>
        <sz val="11"/>
        <color theme="1"/>
        <rFont val="Calibri"/>
        <family val="2"/>
        <charset val="238"/>
        <scheme val="minor"/>
      </rPr>
      <t>sporządź rachunek zysków i strat (w układzie porównawczym)</t>
    </r>
    <r>
      <rPr>
        <sz val="11"/>
        <color theme="1"/>
        <rFont val="Calibri"/>
        <family val="2"/>
        <scheme val="minor"/>
      </rPr>
      <t>.</t>
    </r>
  </si>
  <si>
    <t>d) w rachunku zysków i strat nie ma potrzeby wypisywania linii sprawozdania gdzie wystepują wartości zerowe</t>
  </si>
  <si>
    <t>wykazujemy tylko te niezerowe (w zadaniu będą dodatnie)</t>
  </si>
  <si>
    <t>e) należy pamietać o wpisywaniu numerów operacji gospodarczych</t>
  </si>
  <si>
    <t>10 operacji gospodarczych</t>
  </si>
  <si>
    <t>1. Założenie firmy, zakup podstawowych składników majątku (np. środki trwałe), zaciągnięcie kredytu</t>
  </si>
  <si>
    <r>
      <t xml:space="preserve">Zaksięgować operacje gospodarcze oraz sporządzić </t>
    </r>
    <r>
      <rPr>
        <b/>
        <sz val="11"/>
        <color theme="1"/>
        <rFont val="Calibri"/>
        <family val="2"/>
        <charset val="238"/>
        <scheme val="minor"/>
      </rPr>
      <t>bilans</t>
    </r>
    <r>
      <rPr>
        <sz val="11"/>
        <color theme="1"/>
        <rFont val="Calibri"/>
        <family val="2"/>
        <scheme val="minor"/>
      </rPr>
      <t>.</t>
    </r>
  </si>
  <si>
    <t>Należne wpłaty na KW, agio, zakup składnika majątku (ŚT, kwestia ustalenia ceny nabycia - środki trwałe w budowie), potencjalnie leasing finansowy</t>
  </si>
  <si>
    <t>2. Firma prowadzi działalność i w jej ramach "przeprowadziła "zatowarowanie"" (rozliczenie zakupu) oraz zaczęła prowadzić sprzedaż</t>
  </si>
  <si>
    <t>(Przykłady 5 + rozliczenie Zapasy - ewidencja rozchodu))</t>
  </si>
  <si>
    <t>dostawy niefakturowane, dostawy w drodze, LIFO, FIFO</t>
  </si>
  <si>
    <t>Zaksięgować operacje gospodarcze.</t>
  </si>
  <si>
    <r>
      <t xml:space="preserve">Zaksięgować operacje gospodarcze, księgowo ustalić wynik finansowy oraz sporządzić </t>
    </r>
    <r>
      <rPr>
        <b/>
        <sz val="11"/>
        <color theme="1"/>
        <rFont val="Calibri"/>
        <family val="2"/>
        <charset val="238"/>
        <scheme val="minor"/>
      </rPr>
      <t>rachunek zysków i strat</t>
    </r>
    <r>
      <rPr>
        <sz val="11"/>
        <color theme="1"/>
        <rFont val="Calibri"/>
        <family val="2"/>
        <scheme val="minor"/>
      </rPr>
      <t>.</t>
    </r>
  </si>
  <si>
    <t>(Przykład 10)</t>
  </si>
  <si>
    <t>pytania z prezentacji i notatek oraz mogą pojawić się krótkie "mikrozadania"</t>
  </si>
  <si>
    <t>c) Kalkulator !!!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</si>
</sst>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 val="doubleAccounting"/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1"/>
      <color rgb="FF000000"/>
      <name val="Calibri"/>
    </font>
    <font>
      <b/>
      <u/>
      <sz val="11"/>
      <color theme="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504D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9" fontId="2" fillId="0" borderId="0" applyFont="0" applyFill="0" applyBorder="0" applyAlignment="0" applyProtection="0"/>
  </cellStyleXfs>
  <cellXfs count="181">
    <xf numFmtId="0" fontId="0" fillId="0" borderId="0" xfId="0"/>
    <xf numFmtId="4" fontId="0" fillId="0" borderId="0" xfId="0" applyNumberFormat="1"/>
    <xf numFmtId="4" fontId="0" fillId="2" borderId="0" xfId="0" applyNumberFormat="1" applyFill="1"/>
    <xf numFmtId="4" fontId="3" fillId="2" borderId="0" xfId="0" applyNumberFormat="1" applyFont="1" applyFill="1"/>
    <xf numFmtId="4" fontId="0" fillId="0" borderId="1" xfId="0" applyNumberFormat="1" applyBorder="1"/>
    <xf numFmtId="4" fontId="0" fillId="0" borderId="2" xfId="0" applyNumberFormat="1" applyBorder="1"/>
    <xf numFmtId="4" fontId="0" fillId="0" borderId="3" xfId="0" applyNumberFormat="1" applyBorder="1"/>
    <xf numFmtId="4" fontId="0" fillId="0" borderId="4" xfId="0" applyNumberFormat="1" applyBorder="1"/>
    <xf numFmtId="4" fontId="0" fillId="0" borderId="5" xfId="0" applyNumberFormat="1" applyBorder="1"/>
    <xf numFmtId="4" fontId="0" fillId="0" borderId="6" xfId="0" applyNumberFormat="1" applyBorder="1"/>
    <xf numFmtId="4" fontId="4" fillId="0" borderId="0" xfId="0" applyNumberFormat="1" applyFont="1"/>
    <xf numFmtId="4" fontId="4" fillId="0" borderId="3" xfId="0" applyNumberFormat="1" applyFont="1" applyBorder="1"/>
    <xf numFmtId="4" fontId="0" fillId="0" borderId="7" xfId="0" applyNumberFormat="1" applyBorder="1"/>
    <xf numFmtId="4" fontId="0" fillId="0" borderId="8" xfId="0" applyNumberFormat="1" applyBorder="1"/>
    <xf numFmtId="4" fontId="0" fillId="0" borderId="0" xfId="0" applyNumberFormat="1" applyBorder="1"/>
    <xf numFmtId="4" fontId="0" fillId="0" borderId="9" xfId="0" applyNumberFormat="1" applyBorder="1"/>
    <xf numFmtId="4" fontId="0" fillId="0" borderId="10" xfId="0" applyNumberFormat="1" applyBorder="1"/>
    <xf numFmtId="4" fontId="3" fillId="0" borderId="5" xfId="0" applyNumberFormat="1" applyFont="1" applyBorder="1"/>
    <xf numFmtId="4" fontId="3" fillId="0" borderId="4" xfId="0" applyNumberFormat="1" applyFont="1" applyBorder="1"/>
    <xf numFmtId="4" fontId="3" fillId="0" borderId="11" xfId="0" applyNumberFormat="1" applyFont="1" applyBorder="1"/>
    <xf numFmtId="9" fontId="0" fillId="0" borderId="0" xfId="0" applyNumberFormat="1"/>
    <xf numFmtId="9" fontId="0" fillId="0" borderId="0" xfId="0" applyNumberFormat="1" applyBorder="1"/>
    <xf numFmtId="4" fontId="3" fillId="0" borderId="6" xfId="0" applyNumberFormat="1" applyFont="1" applyBorder="1"/>
    <xf numFmtId="4" fontId="3" fillId="0" borderId="1" xfId="0" applyNumberFormat="1" applyFont="1" applyBorder="1"/>
    <xf numFmtId="4" fontId="3" fillId="0" borderId="10" xfId="0" applyNumberFormat="1" applyFont="1" applyBorder="1"/>
    <xf numFmtId="4" fontId="4" fillId="0" borderId="0" xfId="0" applyNumberFormat="1" applyFont="1" applyBorder="1"/>
    <xf numFmtId="3" fontId="0" fillId="0" borderId="0" xfId="0" applyNumberFormat="1"/>
    <xf numFmtId="3" fontId="3" fillId="2" borderId="0" xfId="0" applyNumberFormat="1" applyFont="1" applyFill="1"/>
    <xf numFmtId="3" fontId="0" fillId="0" borderId="1" xfId="0" applyNumberFormat="1" applyBorder="1"/>
    <xf numFmtId="3" fontId="0" fillId="0" borderId="4" xfId="0" applyNumberFormat="1" applyBorder="1"/>
    <xf numFmtId="3" fontId="0" fillId="0" borderId="0" xfId="0" applyNumberFormat="1" applyBorder="1"/>
    <xf numFmtId="3" fontId="0" fillId="0" borderId="7" xfId="0" applyNumberFormat="1" applyBorder="1"/>
    <xf numFmtId="3" fontId="3" fillId="0" borderId="4" xfId="0" applyNumberFormat="1" applyFont="1" applyBorder="1"/>
    <xf numFmtId="4" fontId="0" fillId="3" borderId="0" xfId="0" applyNumberFormat="1" applyFill="1"/>
    <xf numFmtId="4" fontId="0" fillId="3" borderId="2" xfId="0" applyNumberFormat="1" applyFill="1" applyBorder="1"/>
    <xf numFmtId="4" fontId="0" fillId="4" borderId="0" xfId="0" applyNumberFormat="1" applyFill="1"/>
    <xf numFmtId="4" fontId="0" fillId="4" borderId="3" xfId="0" applyNumberFormat="1" applyFill="1" applyBorder="1"/>
    <xf numFmtId="4" fontId="0" fillId="2" borderId="3" xfId="0" applyNumberFormat="1" applyFill="1" applyBorder="1"/>
    <xf numFmtId="4" fontId="0" fillId="5" borderId="0" xfId="0" applyNumberFormat="1" applyFill="1"/>
    <xf numFmtId="4" fontId="0" fillId="6" borderId="0" xfId="0" applyNumberFormat="1" applyFill="1"/>
    <xf numFmtId="4" fontId="0" fillId="6" borderId="6" xfId="0" applyNumberFormat="1" applyFill="1" applyBorder="1"/>
    <xf numFmtId="3" fontId="0" fillId="6" borderId="1" xfId="0" applyNumberFormat="1" applyFill="1" applyBorder="1"/>
    <xf numFmtId="3" fontId="0" fillId="0" borderId="3" xfId="0" applyNumberFormat="1" applyBorder="1"/>
    <xf numFmtId="3" fontId="0" fillId="0" borderId="6" xfId="0" applyNumberFormat="1" applyBorder="1"/>
    <xf numFmtId="3" fontId="3" fillId="0" borderId="6" xfId="0" applyNumberFormat="1" applyFont="1" applyBorder="1"/>
    <xf numFmtId="3" fontId="3" fillId="0" borderId="1" xfId="0" applyNumberFormat="1" applyFont="1" applyBorder="1"/>
    <xf numFmtId="3" fontId="0" fillId="0" borderId="9" xfId="0" applyNumberFormat="1" applyBorder="1"/>
    <xf numFmtId="3" fontId="0" fillId="0" borderId="10" xfId="0" applyNumberFormat="1" applyBorder="1"/>
    <xf numFmtId="3" fontId="0" fillId="3" borderId="0" xfId="0" applyNumberFormat="1" applyFill="1"/>
    <xf numFmtId="4" fontId="0" fillId="5" borderId="3" xfId="0" applyNumberFormat="1" applyFill="1" applyBorder="1"/>
    <xf numFmtId="3" fontId="0" fillId="5" borderId="0" xfId="0" applyNumberFormat="1" applyFill="1"/>
    <xf numFmtId="3" fontId="0" fillId="4" borderId="0" xfId="0" applyNumberFormat="1" applyFill="1"/>
    <xf numFmtId="3" fontId="6" fillId="0" borderId="0" xfId="0" applyNumberFormat="1" applyFont="1"/>
    <xf numFmtId="3" fontId="0" fillId="0" borderId="2" xfId="0" applyNumberFormat="1" applyBorder="1"/>
    <xf numFmtId="4" fontId="3" fillId="5" borderId="0" xfId="0" applyNumberFormat="1" applyFont="1" applyFill="1"/>
    <xf numFmtId="4" fontId="3" fillId="3" borderId="0" xfId="0" applyNumberFormat="1" applyFont="1" applyFill="1"/>
    <xf numFmtId="4" fontId="3" fillId="4" borderId="0" xfId="0" applyNumberFormat="1" applyFont="1" applyFill="1"/>
    <xf numFmtId="3" fontId="0" fillId="0" borderId="1" xfId="0" applyNumberFormat="1" applyFill="1" applyBorder="1"/>
    <xf numFmtId="4" fontId="0" fillId="0" borderId="1" xfId="0" applyNumberFormat="1" applyFill="1" applyBorder="1"/>
    <xf numFmtId="4" fontId="0" fillId="0" borderId="0" xfId="0" applyNumberFormat="1" applyFill="1"/>
    <xf numFmtId="3" fontId="0" fillId="0" borderId="0" xfId="0" applyNumberFormat="1" applyFill="1"/>
    <xf numFmtId="4" fontId="0" fillId="6" borderId="1" xfId="0" applyNumberFormat="1" applyFill="1" applyBorder="1"/>
    <xf numFmtId="4" fontId="4" fillId="0" borderId="0" xfId="0" applyNumberFormat="1" applyFont="1" applyFill="1"/>
    <xf numFmtId="4" fontId="0" fillId="5" borderId="2" xfId="0" applyNumberFormat="1" applyFill="1" applyBorder="1"/>
    <xf numFmtId="4" fontId="0" fillId="7" borderId="0" xfId="0" applyNumberFormat="1" applyFill="1"/>
    <xf numFmtId="4" fontId="0" fillId="7" borderId="2" xfId="0" applyNumberFormat="1" applyFill="1" applyBorder="1"/>
    <xf numFmtId="4" fontId="0" fillId="8" borderId="3" xfId="0" applyNumberFormat="1" applyFill="1" applyBorder="1"/>
    <xf numFmtId="4" fontId="0" fillId="3" borderId="3" xfId="0" applyNumberFormat="1" applyFill="1" applyBorder="1"/>
    <xf numFmtId="4" fontId="0" fillId="9" borderId="0" xfId="0" applyNumberFormat="1" applyFill="1"/>
    <xf numFmtId="4" fontId="0" fillId="8" borderId="0" xfId="0" applyNumberFormat="1" applyFill="1"/>
    <xf numFmtId="3" fontId="0" fillId="8" borderId="0" xfId="0" applyNumberFormat="1" applyFill="1"/>
    <xf numFmtId="3" fontId="0" fillId="2" borderId="0" xfId="0" applyNumberFormat="1" applyFill="1"/>
    <xf numFmtId="4" fontId="0" fillId="8" borderId="1" xfId="0" applyNumberFormat="1" applyFill="1" applyBorder="1"/>
    <xf numFmtId="4" fontId="0" fillId="8" borderId="2" xfId="0" applyNumberFormat="1" applyFill="1" applyBorder="1"/>
    <xf numFmtId="3" fontId="0" fillId="8" borderId="1" xfId="0" applyNumberFormat="1" applyFill="1" applyBorder="1"/>
    <xf numFmtId="4" fontId="0" fillId="0" borderId="0" xfId="0" applyNumberFormat="1" applyAlignment="1">
      <alignment horizontal="left" indent="2"/>
    </xf>
    <xf numFmtId="4" fontId="0" fillId="3" borderId="1" xfId="0" applyNumberFormat="1" applyFill="1" applyBorder="1"/>
    <xf numFmtId="3" fontId="0" fillId="0" borderId="12" xfId="0" applyNumberFormat="1" applyBorder="1"/>
    <xf numFmtId="4" fontId="0" fillId="0" borderId="13" xfId="0" applyNumberFormat="1" applyBorder="1"/>
    <xf numFmtId="4" fontId="0" fillId="0" borderId="14" xfId="0" applyNumberFormat="1" applyBorder="1"/>
    <xf numFmtId="3" fontId="0" fillId="0" borderId="15" xfId="0" applyNumberFormat="1" applyBorder="1"/>
    <xf numFmtId="4" fontId="0" fillId="0" borderId="16" xfId="0" applyNumberFormat="1" applyBorder="1"/>
    <xf numFmtId="3" fontId="0" fillId="0" borderId="17" xfId="0" applyNumberFormat="1" applyBorder="1"/>
    <xf numFmtId="4" fontId="0" fillId="0" borderId="18" xfId="0" applyNumberFormat="1" applyBorder="1"/>
    <xf numFmtId="4" fontId="0" fillId="0" borderId="19" xfId="0" applyNumberFormat="1" applyBorder="1"/>
    <xf numFmtId="4" fontId="0" fillId="0" borderId="20" xfId="0" applyNumberFormat="1" applyBorder="1"/>
    <xf numFmtId="4" fontId="0" fillId="8" borderId="13" xfId="0" applyNumberFormat="1" applyFill="1" applyBorder="1"/>
    <xf numFmtId="3" fontId="0" fillId="0" borderId="21" xfId="0" applyNumberFormat="1" applyBorder="1"/>
    <xf numFmtId="3" fontId="0" fillId="0" borderId="23" xfId="0" applyNumberFormat="1" applyBorder="1"/>
    <xf numFmtId="4" fontId="0" fillId="0" borderId="24" xfId="0" applyNumberFormat="1" applyBorder="1"/>
    <xf numFmtId="3" fontId="0" fillId="0" borderId="24" xfId="0" applyNumberFormat="1" applyBorder="1"/>
    <xf numFmtId="4" fontId="0" fillId="0" borderId="25" xfId="0" applyNumberFormat="1" applyBorder="1"/>
    <xf numFmtId="3" fontId="0" fillId="0" borderId="18" xfId="0" applyNumberFormat="1" applyBorder="1"/>
    <xf numFmtId="3" fontId="3" fillId="0" borderId="0" xfId="0" applyNumberFormat="1" applyFont="1" applyFill="1"/>
    <xf numFmtId="4" fontId="0" fillId="0" borderId="0" xfId="0" applyNumberFormat="1" applyFill="1" applyBorder="1"/>
    <xf numFmtId="4" fontId="3" fillId="0" borderId="20" xfId="0" applyNumberFormat="1" applyFont="1" applyBorder="1"/>
    <xf numFmtId="4" fontId="3" fillId="0" borderId="0" xfId="0" applyNumberFormat="1" applyFont="1" applyBorder="1"/>
    <xf numFmtId="4" fontId="3" fillId="0" borderId="25" xfId="0" applyNumberFormat="1" applyFont="1" applyBorder="1"/>
    <xf numFmtId="4" fontId="0" fillId="10" borderId="0" xfId="0" applyNumberFormat="1" applyFill="1"/>
    <xf numFmtId="4" fontId="0" fillId="0" borderId="1" xfId="0" applyNumberFormat="1" applyBorder="1" applyAlignment="1"/>
    <xf numFmtId="3" fontId="0" fillId="0" borderId="16" xfId="0" applyNumberFormat="1" applyBorder="1"/>
    <xf numFmtId="3" fontId="7" fillId="5" borderId="26" xfId="1" applyNumberFormat="1" applyFont="1" applyFill="1" applyBorder="1" applyAlignment="1">
      <alignment horizontal="left" vertical="center" wrapText="1" readingOrder="1"/>
    </xf>
    <xf numFmtId="0" fontId="7" fillId="11" borderId="26" xfId="1" applyFont="1" applyFill="1" applyBorder="1" applyAlignment="1">
      <alignment horizontal="left" vertical="center" wrapText="1" readingOrder="1"/>
    </xf>
    <xf numFmtId="10" fontId="7" fillId="11" borderId="26" xfId="1" applyNumberFormat="1" applyFont="1" applyFill="1" applyBorder="1" applyAlignment="1">
      <alignment horizontal="right" vertical="center" wrapText="1" readingOrder="1"/>
    </xf>
    <xf numFmtId="0" fontId="7" fillId="11" borderId="26" xfId="1" applyFont="1" applyFill="1" applyBorder="1" applyAlignment="1">
      <alignment horizontal="right" vertical="center" wrapText="1" readingOrder="1"/>
    </xf>
    <xf numFmtId="0" fontId="7" fillId="12" borderId="26" xfId="1" applyFont="1" applyFill="1" applyBorder="1" applyAlignment="1">
      <alignment horizontal="left" vertical="center" wrapText="1" readingOrder="1"/>
    </xf>
    <xf numFmtId="0" fontId="7" fillId="12" borderId="26" xfId="1" applyFont="1" applyFill="1" applyBorder="1" applyAlignment="1">
      <alignment horizontal="right" vertical="center" wrapText="1" readingOrder="1"/>
    </xf>
    <xf numFmtId="4" fontId="7" fillId="11" borderId="26" xfId="1" applyNumberFormat="1" applyFont="1" applyFill="1" applyBorder="1" applyAlignment="1">
      <alignment horizontal="left" vertical="center" wrapText="1" readingOrder="1"/>
    </xf>
    <xf numFmtId="4" fontId="7" fillId="0" borderId="26" xfId="1" applyNumberFormat="1" applyFont="1" applyFill="1" applyBorder="1" applyAlignment="1">
      <alignment horizontal="left" vertical="center" wrapText="1" readingOrder="1"/>
    </xf>
    <xf numFmtId="4" fontId="7" fillId="8" borderId="26" xfId="1" applyNumberFormat="1" applyFont="1" applyFill="1" applyBorder="1" applyAlignment="1">
      <alignment horizontal="left" vertical="center" wrapText="1" readingOrder="1"/>
    </xf>
    <xf numFmtId="4" fontId="7" fillId="5" borderId="26" xfId="1" applyNumberFormat="1" applyFont="1" applyFill="1" applyBorder="1" applyAlignment="1">
      <alignment horizontal="left" vertical="center" wrapText="1" readingOrder="1"/>
    </xf>
    <xf numFmtId="9" fontId="7" fillId="11" borderId="26" xfId="1" applyNumberFormat="1" applyFont="1" applyFill="1" applyBorder="1" applyAlignment="1">
      <alignment horizontal="right" vertical="center" wrapText="1" readingOrder="1"/>
    </xf>
    <xf numFmtId="9" fontId="7" fillId="12" borderId="26" xfId="1" applyNumberFormat="1" applyFont="1" applyFill="1" applyBorder="1" applyAlignment="1">
      <alignment horizontal="right" vertical="center" wrapText="1" readingOrder="1"/>
    </xf>
    <xf numFmtId="10" fontId="0" fillId="0" borderId="0" xfId="0" applyNumberFormat="1"/>
    <xf numFmtId="4" fontId="0" fillId="0" borderId="0" xfId="0" quotePrefix="1" applyNumberFormat="1"/>
    <xf numFmtId="3" fontId="0" fillId="0" borderId="14" xfId="0" applyNumberFormat="1" applyBorder="1"/>
    <xf numFmtId="3" fontId="0" fillId="0" borderId="20" xfId="0" applyNumberFormat="1" applyBorder="1"/>
    <xf numFmtId="3" fontId="0" fillId="0" borderId="22" xfId="0" applyNumberFormat="1" applyBorder="1"/>
    <xf numFmtId="3" fontId="0" fillId="0" borderId="0" xfId="0" applyNumberFormat="1" applyAlignment="1">
      <alignment wrapText="1"/>
    </xf>
    <xf numFmtId="4" fontId="0" fillId="4" borderId="1" xfId="0" applyNumberFormat="1" applyFill="1" applyBorder="1"/>
    <xf numFmtId="3" fontId="0" fillId="4" borderId="1" xfId="0" applyNumberFormat="1" applyFill="1" applyBorder="1"/>
    <xf numFmtId="4" fontId="0" fillId="4" borderId="2" xfId="0" applyNumberFormat="1" applyFill="1" applyBorder="1"/>
    <xf numFmtId="4" fontId="0" fillId="2" borderId="2" xfId="0" applyNumberFormat="1" applyFill="1" applyBorder="1"/>
    <xf numFmtId="3" fontId="0" fillId="0" borderId="8" xfId="0" applyNumberFormat="1" applyBorder="1"/>
    <xf numFmtId="3" fontId="3" fillId="0" borderId="11" xfId="0" applyNumberFormat="1" applyFont="1" applyBorder="1"/>
    <xf numFmtId="3" fontId="0" fillId="0" borderId="0" xfId="0" quotePrefix="1" applyNumberFormat="1"/>
    <xf numFmtId="3" fontId="3" fillId="0" borderId="10" xfId="0" applyNumberFormat="1" applyFont="1" applyBorder="1"/>
    <xf numFmtId="3" fontId="0" fillId="0" borderId="5" xfId="0" applyNumberFormat="1" applyBorder="1"/>
    <xf numFmtId="3" fontId="4" fillId="0" borderId="3" xfId="0" applyNumberFormat="1" applyFont="1" applyBorder="1"/>
    <xf numFmtId="3" fontId="0" fillId="0" borderId="2" xfId="0" applyNumberFormat="1" applyFill="1" applyBorder="1"/>
    <xf numFmtId="3" fontId="0" fillId="0" borderId="3" xfId="0" applyNumberFormat="1" applyFill="1" applyBorder="1"/>
    <xf numFmtId="3" fontId="0" fillId="0" borderId="6" xfId="0" applyNumberFormat="1" applyFill="1" applyBorder="1"/>
    <xf numFmtId="3" fontId="0" fillId="5" borderId="3" xfId="0" applyNumberFormat="1" applyFill="1" applyBorder="1"/>
    <xf numFmtId="3" fontId="0" fillId="4" borderId="3" xfId="0" applyNumberFormat="1" applyFill="1" applyBorder="1"/>
    <xf numFmtId="3" fontId="0" fillId="8" borderId="2" xfId="0" applyNumberFormat="1" applyFill="1" applyBorder="1"/>
    <xf numFmtId="3" fontId="0" fillId="5" borderId="2" xfId="0" applyNumberFormat="1" applyFill="1" applyBorder="1"/>
    <xf numFmtId="3" fontId="0" fillId="0" borderId="13" xfId="0" applyNumberFormat="1" applyBorder="1"/>
    <xf numFmtId="3" fontId="0" fillId="0" borderId="19" xfId="0" applyNumberFormat="1" applyBorder="1"/>
    <xf numFmtId="4" fontId="5" fillId="0" borderId="0" xfId="0" applyNumberFormat="1" applyFont="1"/>
    <xf numFmtId="4" fontId="0" fillId="0" borderId="23" xfId="0" applyNumberFormat="1" applyBorder="1"/>
    <xf numFmtId="4" fontId="0" fillId="0" borderId="15" xfId="0" applyNumberFormat="1" applyBorder="1"/>
    <xf numFmtId="4" fontId="0" fillId="0" borderId="17" xfId="0" applyNumberFormat="1" applyBorder="1"/>
    <xf numFmtId="4" fontId="0" fillId="0" borderId="12" xfId="0" applyNumberFormat="1" applyBorder="1"/>
    <xf numFmtId="4" fontId="0" fillId="0" borderId="0" xfId="0" applyNumberFormat="1" applyAlignment="1">
      <alignment wrapText="1"/>
    </xf>
    <xf numFmtId="3" fontId="0" fillId="3" borderId="2" xfId="0" applyNumberFormat="1" applyFill="1" applyBorder="1"/>
    <xf numFmtId="3" fontId="0" fillId="6" borderId="6" xfId="0" applyNumberFormat="1" applyFill="1" applyBorder="1"/>
    <xf numFmtId="3" fontId="4" fillId="0" borderId="3" xfId="0" applyNumberFormat="1" applyFont="1" applyFill="1" applyBorder="1"/>
    <xf numFmtId="3" fontId="0" fillId="8" borderId="3" xfId="0" applyNumberFormat="1" applyFill="1" applyBorder="1"/>
    <xf numFmtId="3" fontId="0" fillId="2" borderId="3" xfId="0" applyNumberFormat="1" applyFill="1" applyBorder="1"/>
    <xf numFmtId="3" fontId="7" fillId="11" borderId="26" xfId="1" applyNumberFormat="1" applyFont="1" applyFill="1" applyBorder="1" applyAlignment="1">
      <alignment horizontal="left" vertical="center" wrapText="1" readingOrder="1"/>
    </xf>
    <xf numFmtId="3" fontId="7" fillId="8" borderId="26" xfId="1" applyNumberFormat="1" applyFont="1" applyFill="1" applyBorder="1" applyAlignment="1">
      <alignment horizontal="left" vertical="center" wrapText="1" readingOrder="1"/>
    </xf>
    <xf numFmtId="3" fontId="7" fillId="0" borderId="26" xfId="1" applyNumberFormat="1" applyFont="1" applyFill="1" applyBorder="1" applyAlignment="1">
      <alignment horizontal="left" vertical="center" wrapText="1" readingOrder="1"/>
    </xf>
    <xf numFmtId="4" fontId="0" fillId="0" borderId="2" xfId="0" applyNumberFormat="1" applyFill="1" applyBorder="1"/>
    <xf numFmtId="4" fontId="0" fillId="0" borderId="3" xfId="0" applyNumberFormat="1" applyFill="1" applyBorder="1"/>
    <xf numFmtId="4" fontId="0" fillId="3" borderId="6" xfId="0" applyNumberFormat="1" applyFill="1" applyBorder="1"/>
    <xf numFmtId="3" fontId="0" fillId="5" borderId="7" xfId="0" applyNumberFormat="1" applyFill="1" applyBorder="1"/>
    <xf numFmtId="4" fontId="0" fillId="5" borderId="7" xfId="0" applyNumberFormat="1" applyFill="1" applyBorder="1"/>
    <xf numFmtId="3" fontId="0" fillId="0" borderId="0" xfId="0" applyNumberFormat="1" applyFill="1" applyBorder="1"/>
    <xf numFmtId="4" fontId="0" fillId="0" borderId="27" xfId="0" applyNumberFormat="1" applyBorder="1"/>
    <xf numFmtId="4" fontId="8" fillId="0" borderId="0" xfId="0" applyNumberFormat="1" applyFont="1" applyBorder="1"/>
    <xf numFmtId="4" fontId="0" fillId="4" borderId="27" xfId="0" applyNumberFormat="1" applyFill="1" applyBorder="1"/>
    <xf numFmtId="4" fontId="0" fillId="3" borderId="27" xfId="0" applyNumberFormat="1" applyFill="1" applyBorder="1"/>
    <xf numFmtId="4" fontId="0" fillId="2" borderId="27" xfId="0" applyNumberFormat="1" applyFill="1" applyBorder="1"/>
    <xf numFmtId="4" fontId="5" fillId="0" borderId="0" xfId="0" applyNumberFormat="1" applyFont="1" applyAlignment="1">
      <alignment horizontal="left" indent="1"/>
    </xf>
    <xf numFmtId="3" fontId="5" fillId="0" borderId="0" xfId="0" applyNumberFormat="1" applyFont="1"/>
    <xf numFmtId="4" fontId="0" fillId="0" borderId="5" xfId="0" applyNumberForma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4" fontId="0" fillId="0" borderId="11" xfId="0" applyNumberFormat="1" applyBorder="1" applyAlignment="1">
      <alignment horizontal="center"/>
    </xf>
    <xf numFmtId="4" fontId="0" fillId="0" borderId="29" xfId="0" applyNumberFormat="1" applyBorder="1" applyAlignment="1">
      <alignment horizontal="left"/>
    </xf>
    <xf numFmtId="4" fontId="0" fillId="0" borderId="27" xfId="0" applyNumberFormat="1" applyBorder="1" applyAlignment="1">
      <alignment horizontal="left"/>
    </xf>
    <xf numFmtId="0" fontId="0" fillId="0" borderId="27" xfId="0" applyBorder="1" applyAlignment="1">
      <alignment horizontal="left"/>
    </xf>
    <xf numFmtId="4" fontId="0" fillId="0" borderId="28" xfId="0" applyNumberFormat="1" applyBorder="1" applyAlignment="1">
      <alignment horizontal="left"/>
    </xf>
    <xf numFmtId="0" fontId="0" fillId="0" borderId="28" xfId="0" applyBorder="1" applyAlignment="1">
      <alignment horizontal="left"/>
    </xf>
    <xf numFmtId="4" fontId="0" fillId="0" borderId="27" xfId="0" applyNumberFormat="1" applyBorder="1" applyAlignment="1">
      <alignment horizontal="left" wrapText="1"/>
    </xf>
    <xf numFmtId="0" fontId="0" fillId="0" borderId="27" xfId="0" applyBorder="1" applyAlignment="1">
      <alignment horizontal="left" wrapText="1"/>
    </xf>
    <xf numFmtId="4" fontId="3" fillId="0" borderId="5" xfId="0" applyNumberFormat="1" applyFont="1" applyBorder="1" applyAlignment="1">
      <alignment horizontal="center"/>
    </xf>
    <xf numFmtId="4" fontId="3" fillId="0" borderId="4" xfId="0" applyNumberFormat="1" applyFont="1" applyBorder="1" applyAlignment="1">
      <alignment horizontal="center"/>
    </xf>
    <xf numFmtId="4" fontId="3" fillId="0" borderId="11" xfId="0" applyNumberFormat="1" applyFont="1" applyBorder="1" applyAlignment="1">
      <alignment horizontal="center"/>
    </xf>
    <xf numFmtId="4" fontId="3" fillId="0" borderId="2" xfId="0" applyNumberFormat="1" applyFont="1" applyBorder="1" applyAlignment="1">
      <alignment horizontal="center"/>
    </xf>
    <xf numFmtId="4" fontId="3" fillId="0" borderId="7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</cellXfs>
  <cellStyles count="3">
    <cellStyle name="Normalny" xfId="0" builtinId="0"/>
    <cellStyle name="Normalny 2" xfId="1"/>
    <cellStyle name="Procentow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M763"/>
  <sheetViews>
    <sheetView tabSelected="1" topLeftCell="A741" zoomScale="190" zoomScaleNormal="190" workbookViewId="0">
      <selection activeCell="C744" sqref="C744"/>
    </sheetView>
  </sheetViews>
  <sheetFormatPr defaultRowHeight="15" x14ac:dyDescent="0.25"/>
  <cols>
    <col min="1" max="1" width="2.5703125" style="1" customWidth="1"/>
    <col min="2" max="2" width="3.28515625" style="26" customWidth="1"/>
    <col min="3" max="3" width="20.7109375" style="1" customWidth="1"/>
    <col min="4" max="4" width="15.5703125" style="1" customWidth="1"/>
    <col min="5" max="5" width="10.28515625" style="1" customWidth="1"/>
    <col min="6" max="6" width="13.140625" style="1" customWidth="1"/>
    <col min="7" max="7" width="3" style="1" customWidth="1"/>
    <col min="8" max="9" width="11.7109375" style="1" bestFit="1" customWidth="1"/>
    <col min="10" max="10" width="3" style="26" customWidth="1"/>
    <col min="11" max="11" width="13.140625" style="1" customWidth="1"/>
    <col min="12" max="12" width="11.7109375" style="1" bestFit="1" customWidth="1"/>
    <col min="13" max="16384" width="9.140625" style="1"/>
  </cols>
  <sheetData>
    <row r="2" spans="2:10" x14ac:dyDescent="0.25">
      <c r="B2" s="27" t="s">
        <v>0</v>
      </c>
      <c r="C2" s="2"/>
    </row>
    <row r="4" spans="2:10" x14ac:dyDescent="0.25">
      <c r="B4" s="28"/>
      <c r="C4" s="4" t="s">
        <v>1</v>
      </c>
      <c r="D4" s="4"/>
      <c r="E4" s="4"/>
      <c r="G4" s="4"/>
      <c r="H4" s="4" t="s">
        <v>4</v>
      </c>
      <c r="I4" s="4"/>
      <c r="J4" s="28"/>
    </row>
    <row r="5" spans="2:10" x14ac:dyDescent="0.25">
      <c r="B5" s="29"/>
      <c r="C5" s="7"/>
      <c r="D5" s="8">
        <f>500*10000</f>
        <v>5000000</v>
      </c>
      <c r="E5" s="7" t="s">
        <v>2</v>
      </c>
      <c r="I5" s="5">
        <f>10000*(600-500)</f>
        <v>1000000</v>
      </c>
      <c r="J5" s="26" t="str">
        <f>E5</f>
        <v>1)</v>
      </c>
    </row>
    <row r="6" spans="2:10" x14ac:dyDescent="0.25">
      <c r="C6" s="1">
        <v>0</v>
      </c>
      <c r="D6" s="6">
        <f>D5</f>
        <v>5000000</v>
      </c>
      <c r="G6" s="4"/>
      <c r="H6" s="4"/>
      <c r="I6" s="9" t="s">
        <v>3</v>
      </c>
      <c r="J6" s="28"/>
    </row>
    <row r="7" spans="2:10" x14ac:dyDescent="0.25">
      <c r="B7" s="28" t="s">
        <v>10</v>
      </c>
      <c r="C7" s="4">
        <f>D6-C6</f>
        <v>5000000</v>
      </c>
      <c r="D7" s="9"/>
      <c r="E7" s="4"/>
      <c r="H7" s="1">
        <f>H5</f>
        <v>0</v>
      </c>
      <c r="I7" s="6">
        <f>I5</f>
        <v>1000000</v>
      </c>
    </row>
    <row r="8" spans="2:10" ht="17.25" x14ac:dyDescent="0.4">
      <c r="C8" s="10">
        <f>C6+C7</f>
        <v>5000000</v>
      </c>
      <c r="D8" s="11">
        <f>D6</f>
        <v>5000000</v>
      </c>
      <c r="G8" s="1" t="s">
        <v>10</v>
      </c>
      <c r="H8" s="1">
        <f>I7-H7</f>
        <v>1000000</v>
      </c>
      <c r="I8" s="6"/>
    </row>
    <row r="9" spans="2:10" x14ac:dyDescent="0.25">
      <c r="D9" s="6"/>
      <c r="I9" s="6"/>
    </row>
    <row r="11" spans="2:10" x14ac:dyDescent="0.25">
      <c r="B11" s="28"/>
      <c r="C11" s="4" t="s">
        <v>5</v>
      </c>
      <c r="D11" s="4"/>
      <c r="E11" s="4"/>
      <c r="G11" s="4"/>
      <c r="H11" s="4" t="s">
        <v>6</v>
      </c>
      <c r="I11" s="4"/>
      <c r="J11" s="28"/>
    </row>
    <row r="12" spans="2:10" x14ac:dyDescent="0.25">
      <c r="B12" s="29" t="str">
        <f>J5</f>
        <v>1)</v>
      </c>
      <c r="C12" s="7">
        <f>D5+I5</f>
        <v>6000000</v>
      </c>
      <c r="D12" s="8">
        <f>H12</f>
        <v>4500000</v>
      </c>
      <c r="E12" s="7" t="str">
        <f>G12</f>
        <v>2)</v>
      </c>
      <c r="G12" s="1" t="s">
        <v>7</v>
      </c>
      <c r="H12" s="1">
        <f>C12*0.75</f>
        <v>4500000</v>
      </c>
      <c r="I12" s="5"/>
    </row>
    <row r="13" spans="2:10" x14ac:dyDescent="0.25">
      <c r="C13" s="1">
        <f>C12</f>
        <v>6000000</v>
      </c>
      <c r="D13" s="6">
        <f>D12</f>
        <v>4500000</v>
      </c>
      <c r="G13" s="4" t="s">
        <v>9</v>
      </c>
      <c r="H13" s="4">
        <v>10000</v>
      </c>
      <c r="I13" s="9"/>
      <c r="J13" s="28"/>
    </row>
    <row r="14" spans="2:10" x14ac:dyDescent="0.25">
      <c r="D14" s="6">
        <f>C13-D13</f>
        <v>1500000</v>
      </c>
      <c r="E14" s="1" t="s">
        <v>10</v>
      </c>
      <c r="H14" s="1">
        <f>H12+H13</f>
        <v>4510000</v>
      </c>
      <c r="I14" s="6">
        <v>0</v>
      </c>
    </row>
    <row r="15" spans="2:10" x14ac:dyDescent="0.25">
      <c r="D15" s="6" t="s">
        <v>11</v>
      </c>
      <c r="I15" s="6">
        <f>H14</f>
        <v>4510000</v>
      </c>
      <c r="J15" s="26" t="s">
        <v>10</v>
      </c>
    </row>
    <row r="16" spans="2:10" x14ac:dyDescent="0.25">
      <c r="D16" s="6"/>
      <c r="I16" s="6"/>
    </row>
    <row r="18" spans="2:11" x14ac:dyDescent="0.25">
      <c r="B18" s="28"/>
      <c r="C18" s="4" t="s">
        <v>8</v>
      </c>
      <c r="D18" s="4"/>
      <c r="E18" s="4"/>
    </row>
    <row r="19" spans="2:11" x14ac:dyDescent="0.25">
      <c r="B19" s="29"/>
      <c r="C19" s="7"/>
      <c r="D19" s="8">
        <f>H13</f>
        <v>10000</v>
      </c>
      <c r="E19" s="7" t="str">
        <f>G13</f>
        <v>3)</v>
      </c>
    </row>
    <row r="20" spans="2:11" x14ac:dyDescent="0.25">
      <c r="C20" s="1">
        <v>0</v>
      </c>
      <c r="D20" s="6">
        <f>D19</f>
        <v>10000</v>
      </c>
    </row>
    <row r="21" spans="2:11" x14ac:dyDescent="0.25">
      <c r="B21" s="26" t="s">
        <v>10</v>
      </c>
      <c r="C21" s="1">
        <f>D20-C20</f>
        <v>10000</v>
      </c>
      <c r="D21" s="6"/>
    </row>
    <row r="22" spans="2:11" x14ac:dyDescent="0.25">
      <c r="D22" s="6"/>
    </row>
    <row r="23" spans="2:11" x14ac:dyDescent="0.25">
      <c r="D23" s="6"/>
    </row>
    <row r="25" spans="2:11" x14ac:dyDescent="0.25">
      <c r="C25" s="165" t="s">
        <v>12</v>
      </c>
      <c r="D25" s="166"/>
      <c r="E25" s="166"/>
      <c r="F25" s="166"/>
      <c r="G25" s="166"/>
      <c r="H25" s="166"/>
      <c r="I25" s="166"/>
      <c r="J25" s="166"/>
      <c r="K25" s="167"/>
    </row>
    <row r="26" spans="2:11" x14ac:dyDescent="0.25">
      <c r="C26" s="5"/>
      <c r="D26" s="12" t="s">
        <v>14</v>
      </c>
      <c r="E26" s="12"/>
      <c r="F26" s="12"/>
      <c r="G26" s="12"/>
      <c r="H26" s="12" t="s">
        <v>15</v>
      </c>
      <c r="I26" s="12"/>
      <c r="J26" s="31"/>
      <c r="K26" s="13"/>
    </row>
    <row r="27" spans="2:11" x14ac:dyDescent="0.25">
      <c r="C27" s="6" t="s">
        <v>13</v>
      </c>
      <c r="D27" s="14"/>
      <c r="E27" s="14"/>
      <c r="F27" s="14">
        <v>0</v>
      </c>
      <c r="G27" s="14"/>
      <c r="H27" s="14" t="s">
        <v>16</v>
      </c>
      <c r="I27" s="14"/>
      <c r="J27" s="30"/>
      <c r="K27" s="15">
        <f>K28+K29</f>
        <v>6000000</v>
      </c>
    </row>
    <row r="28" spans="2:11" x14ac:dyDescent="0.25">
      <c r="C28" s="6" t="str">
        <f>H11</f>
        <v>Rachunek bankowy</v>
      </c>
      <c r="D28" s="14"/>
      <c r="E28" s="14"/>
      <c r="F28" s="14">
        <f>I15</f>
        <v>4510000</v>
      </c>
      <c r="G28" s="14"/>
      <c r="H28" s="14" t="str">
        <f>C4</f>
        <v>Kapitał podstawowy</v>
      </c>
      <c r="I28" s="14"/>
      <c r="J28" s="30"/>
      <c r="K28" s="15">
        <f>C7</f>
        <v>5000000</v>
      </c>
    </row>
    <row r="29" spans="2:11" x14ac:dyDescent="0.25">
      <c r="C29" s="6" t="str">
        <f>C11</f>
        <v>Należne wpłaty na kapitał własny</v>
      </c>
      <c r="D29" s="14"/>
      <c r="E29" s="14"/>
      <c r="F29" s="14">
        <f>D14</f>
        <v>1500000</v>
      </c>
      <c r="G29" s="14"/>
      <c r="H29" s="14" t="str">
        <f>H4</f>
        <v>Kapitał zapasowy</v>
      </c>
      <c r="I29" s="14"/>
      <c r="J29" s="30"/>
      <c r="K29" s="15">
        <f>H8</f>
        <v>1000000</v>
      </c>
    </row>
    <row r="30" spans="2:11" x14ac:dyDescent="0.25">
      <c r="C30" s="6"/>
      <c r="D30" s="14"/>
      <c r="E30" s="14"/>
      <c r="F30" s="14"/>
      <c r="G30" s="14"/>
      <c r="H30" s="14" t="str">
        <f>C18</f>
        <v>Kredyty</v>
      </c>
      <c r="I30" s="14"/>
      <c r="J30" s="30"/>
      <c r="K30" s="15">
        <f>C21</f>
        <v>10000</v>
      </c>
    </row>
    <row r="31" spans="2:11" x14ac:dyDescent="0.25">
      <c r="C31" s="17" t="s">
        <v>17</v>
      </c>
      <c r="D31" s="18"/>
      <c r="E31" s="18"/>
      <c r="F31" s="18">
        <f>F27+F28+F29</f>
        <v>6010000</v>
      </c>
      <c r="G31" s="18"/>
      <c r="H31" s="18" t="str">
        <f>C31</f>
        <v>RAZEM</v>
      </c>
      <c r="I31" s="18"/>
      <c r="J31" s="32"/>
      <c r="K31" s="19">
        <f>K27+K30</f>
        <v>6010000</v>
      </c>
    </row>
    <row r="33" spans="2:11" x14ac:dyDescent="0.25">
      <c r="B33" s="27" t="s">
        <v>18</v>
      </c>
      <c r="C33" s="2"/>
    </row>
    <row r="34" spans="2:11" x14ac:dyDescent="0.25">
      <c r="C34" s="1" t="s">
        <v>35</v>
      </c>
    </row>
    <row r="35" spans="2:11" x14ac:dyDescent="0.25">
      <c r="B35" s="28"/>
      <c r="C35" s="4" t="s">
        <v>8</v>
      </c>
      <c r="D35" s="4"/>
      <c r="E35" s="4"/>
      <c r="G35" s="4"/>
      <c r="H35" s="4" t="s">
        <v>6</v>
      </c>
      <c r="I35" s="4"/>
      <c r="J35" s="28"/>
    </row>
    <row r="36" spans="2:11" x14ac:dyDescent="0.25">
      <c r="B36" s="26" t="s">
        <v>9</v>
      </c>
      <c r="C36" s="1">
        <f>C53+C60</f>
        <v>132575.75757575757</v>
      </c>
      <c r="D36" s="5">
        <v>5000000</v>
      </c>
      <c r="E36" s="1" t="s">
        <v>2</v>
      </c>
      <c r="G36" s="1" t="str">
        <f>E36</f>
        <v>1)</v>
      </c>
      <c r="H36" s="1">
        <f>D36</f>
        <v>5000000</v>
      </c>
      <c r="I36" s="5">
        <f>C59+C52</f>
        <v>159242.42424242425</v>
      </c>
      <c r="J36" s="26" t="str">
        <f>B43</f>
        <v>3)</v>
      </c>
    </row>
    <row r="37" spans="2:11" x14ac:dyDescent="0.25">
      <c r="B37" s="28"/>
      <c r="C37" s="4"/>
      <c r="D37" s="9">
        <v>1000000</v>
      </c>
      <c r="E37" s="4" t="s">
        <v>7</v>
      </c>
      <c r="G37" s="4" t="str">
        <f>E37</f>
        <v>2)</v>
      </c>
      <c r="H37" s="4">
        <f>D37</f>
        <v>1000000</v>
      </c>
      <c r="I37" s="9"/>
      <c r="J37" s="28"/>
    </row>
    <row r="38" spans="2:11" x14ac:dyDescent="0.25">
      <c r="C38" s="1">
        <f>C36</f>
        <v>132575.75757575757</v>
      </c>
      <c r="D38" s="6">
        <f>D36+D37</f>
        <v>6000000</v>
      </c>
      <c r="H38" s="1">
        <f>H36+H37</f>
        <v>6000000</v>
      </c>
      <c r="I38" s="6">
        <f>I36</f>
        <v>159242.42424242425</v>
      </c>
    </row>
    <row r="39" spans="2:11" x14ac:dyDescent="0.25">
      <c r="B39" s="26" t="s">
        <v>10</v>
      </c>
      <c r="C39" s="1">
        <f>D38-C38</f>
        <v>5867424.2424242422</v>
      </c>
      <c r="D39" s="6"/>
      <c r="I39" s="6">
        <f>H38-I38</f>
        <v>5840757.5757575762</v>
      </c>
      <c r="J39" s="26" t="s">
        <v>10</v>
      </c>
    </row>
    <row r="40" spans="2:11" x14ac:dyDescent="0.25">
      <c r="D40" s="6"/>
      <c r="I40" s="6"/>
    </row>
    <row r="42" spans="2:11" x14ac:dyDescent="0.25">
      <c r="B42" s="28"/>
      <c r="C42" s="4" t="s">
        <v>26</v>
      </c>
      <c r="D42" s="4"/>
      <c r="E42" s="4"/>
      <c r="G42" s="4"/>
      <c r="H42" s="4" t="s">
        <v>27</v>
      </c>
      <c r="I42" s="4"/>
      <c r="J42" s="28"/>
    </row>
    <row r="43" spans="2:11" x14ac:dyDescent="0.25">
      <c r="B43" s="26" t="s">
        <v>9</v>
      </c>
      <c r="C43" s="1">
        <f>C54+C61</f>
        <v>26666.666666666664</v>
      </c>
      <c r="D43" s="5">
        <f>C43</f>
        <v>26666.666666666664</v>
      </c>
      <c r="E43" s="1" t="s">
        <v>28</v>
      </c>
      <c r="G43" s="7" t="s">
        <v>28</v>
      </c>
      <c r="H43" s="7">
        <f>D43</f>
        <v>26666.666666666664</v>
      </c>
      <c r="I43" s="8"/>
      <c r="J43" s="29"/>
    </row>
    <row r="44" spans="2:11" x14ac:dyDescent="0.25">
      <c r="D44" s="6" t="s">
        <v>29</v>
      </c>
      <c r="H44" s="1">
        <f>H43</f>
        <v>26666.666666666664</v>
      </c>
      <c r="I44" s="6">
        <v>0</v>
      </c>
    </row>
    <row r="45" spans="2:11" x14ac:dyDescent="0.25">
      <c r="D45" s="6" t="s">
        <v>30</v>
      </c>
      <c r="I45" s="6">
        <f>H44-I44</f>
        <v>26666.666666666664</v>
      </c>
      <c r="J45" s="26" t="s">
        <v>31</v>
      </c>
      <c r="K45" s="1" t="s">
        <v>32</v>
      </c>
    </row>
    <row r="46" spans="2:11" x14ac:dyDescent="0.25">
      <c r="D46" s="6"/>
      <c r="I46" s="6"/>
    </row>
    <row r="47" spans="2:11" x14ac:dyDescent="0.25">
      <c r="D47" s="6"/>
      <c r="I47" s="6"/>
    </row>
    <row r="49" spans="3:11" x14ac:dyDescent="0.25">
      <c r="C49" s="1">
        <v>5000000</v>
      </c>
      <c r="D49" s="1" t="s">
        <v>19</v>
      </c>
    </row>
    <row r="50" spans="3:11" x14ac:dyDescent="0.25">
      <c r="C50" s="1">
        <v>10</v>
      </c>
      <c r="D50" s="1" t="s">
        <v>20</v>
      </c>
    </row>
    <row r="51" spans="3:11" x14ac:dyDescent="0.25">
      <c r="C51" s="20">
        <v>0.05</v>
      </c>
      <c r="D51" s="1" t="s">
        <v>21</v>
      </c>
    </row>
    <row r="52" spans="3:11" x14ac:dyDescent="0.25">
      <c r="C52" s="1">
        <f>C53+C54</f>
        <v>62500</v>
      </c>
      <c r="D52" s="1" t="s">
        <v>22</v>
      </c>
    </row>
    <row r="53" spans="3:11" x14ac:dyDescent="0.25">
      <c r="C53" s="1">
        <f>C49/C50/12</f>
        <v>41666.666666666664</v>
      </c>
      <c r="D53" s="1" t="s">
        <v>23</v>
      </c>
      <c r="F53" s="1">
        <f>C53*12</f>
        <v>500000</v>
      </c>
      <c r="H53" s="1">
        <f>F53*10</f>
        <v>5000000</v>
      </c>
    </row>
    <row r="54" spans="3:11" x14ac:dyDescent="0.25">
      <c r="C54" s="1">
        <f>C49*C51/12</f>
        <v>20833.333333333332</v>
      </c>
      <c r="D54" s="1" t="s">
        <v>24</v>
      </c>
      <c r="F54" s="1">
        <f>C49*C51</f>
        <v>250000</v>
      </c>
      <c r="H54" s="1">
        <f>F54/12</f>
        <v>20833.333333333332</v>
      </c>
    </row>
    <row r="56" spans="3:11" x14ac:dyDescent="0.25">
      <c r="C56" s="1">
        <f>D37</f>
        <v>1000000</v>
      </c>
      <c r="D56" s="1" t="s">
        <v>19</v>
      </c>
    </row>
    <row r="57" spans="3:11" x14ac:dyDescent="0.25">
      <c r="C57" s="1">
        <v>11</v>
      </c>
      <c r="D57" s="1" t="s">
        <v>25</v>
      </c>
    </row>
    <row r="58" spans="3:11" x14ac:dyDescent="0.25">
      <c r="C58" s="20">
        <v>7.0000000000000007E-2</v>
      </c>
      <c r="D58" s="1" t="s">
        <v>21</v>
      </c>
    </row>
    <row r="59" spans="3:11" x14ac:dyDescent="0.25">
      <c r="C59" s="1">
        <f>C60+C61</f>
        <v>96742.42424242424</v>
      </c>
      <c r="D59" s="1" t="s">
        <v>22</v>
      </c>
    </row>
    <row r="60" spans="3:11" x14ac:dyDescent="0.25">
      <c r="C60" s="1">
        <f>C56/C57</f>
        <v>90909.090909090912</v>
      </c>
      <c r="D60" s="1" t="s">
        <v>23</v>
      </c>
    </row>
    <row r="61" spans="3:11" x14ac:dyDescent="0.25">
      <c r="C61" s="1">
        <f>C56*C58/12</f>
        <v>5833.333333333333</v>
      </c>
      <c r="D61" s="1" t="s">
        <v>24</v>
      </c>
    </row>
    <row r="64" spans="3:11" x14ac:dyDescent="0.25">
      <c r="C64" s="165" t="s">
        <v>12</v>
      </c>
      <c r="D64" s="166"/>
      <c r="E64" s="166"/>
      <c r="F64" s="166"/>
      <c r="G64" s="166"/>
      <c r="H64" s="166"/>
      <c r="I64" s="166"/>
      <c r="J64" s="166"/>
      <c r="K64" s="167"/>
    </row>
    <row r="65" spans="2:11" x14ac:dyDescent="0.25">
      <c r="C65" s="5"/>
      <c r="D65" s="12" t="s">
        <v>14</v>
      </c>
      <c r="E65" s="12"/>
      <c r="F65" s="12"/>
      <c r="G65" s="12"/>
      <c r="H65" s="12" t="s">
        <v>15</v>
      </c>
      <c r="I65" s="12"/>
      <c r="J65" s="31"/>
      <c r="K65" s="13"/>
    </row>
    <row r="66" spans="2:11" x14ac:dyDescent="0.25">
      <c r="C66" s="6" t="str">
        <f>H35</f>
        <v>Rachunek bankowy</v>
      </c>
      <c r="D66" s="14"/>
      <c r="E66" s="14"/>
      <c r="F66" s="14">
        <f>I39</f>
        <v>5840757.5757575762</v>
      </c>
      <c r="G66" s="14"/>
      <c r="H66" s="14" t="s">
        <v>16</v>
      </c>
      <c r="I66" s="14"/>
      <c r="J66" s="30"/>
      <c r="K66" s="15"/>
    </row>
    <row r="67" spans="2:11" x14ac:dyDescent="0.25">
      <c r="C67" s="6"/>
      <c r="D67" s="14"/>
      <c r="E67" s="14"/>
      <c r="F67" s="14"/>
      <c r="G67" s="14"/>
      <c r="H67" s="14" t="str">
        <f>H42</f>
        <v>Wynik finansowy (860)</v>
      </c>
      <c r="I67" s="14"/>
      <c r="J67" s="30"/>
      <c r="K67" s="15">
        <f>-I45</f>
        <v>-26666.666666666664</v>
      </c>
    </row>
    <row r="68" spans="2:11" x14ac:dyDescent="0.25">
      <c r="C68" s="6"/>
      <c r="D68" s="14"/>
      <c r="E68" s="14"/>
      <c r="F68" s="14"/>
      <c r="G68" s="14"/>
      <c r="H68" s="14" t="s">
        <v>33</v>
      </c>
      <c r="I68" s="14"/>
      <c r="J68" s="30"/>
      <c r="K68" s="15">
        <f>C49-C53*12</f>
        <v>4500000</v>
      </c>
    </row>
    <row r="69" spans="2:11" x14ac:dyDescent="0.25">
      <c r="C69" s="6"/>
      <c r="D69" s="14"/>
      <c r="E69" s="14"/>
      <c r="F69" s="14"/>
      <c r="G69" s="14"/>
      <c r="H69" s="14" t="s">
        <v>34</v>
      </c>
      <c r="I69" s="14"/>
      <c r="J69" s="30"/>
      <c r="K69" s="15">
        <f>C53*11+C56-C60</f>
        <v>1367424.2424242424</v>
      </c>
    </row>
    <row r="70" spans="2:11" x14ac:dyDescent="0.25">
      <c r="C70" s="17" t="s">
        <v>17</v>
      </c>
      <c r="D70" s="18"/>
      <c r="E70" s="18"/>
      <c r="F70" s="18">
        <f>F66+F67+F68</f>
        <v>5840757.5757575762</v>
      </c>
      <c r="G70" s="18"/>
      <c r="H70" s="18" t="str">
        <f>C70</f>
        <v>RAZEM</v>
      </c>
      <c r="I70" s="18"/>
      <c r="J70" s="32"/>
      <c r="K70" s="19">
        <f>K67+K69+K68</f>
        <v>5840757.5757575762</v>
      </c>
    </row>
    <row r="72" spans="2:11" x14ac:dyDescent="0.25">
      <c r="B72" s="27" t="s">
        <v>94</v>
      </c>
      <c r="C72" s="2"/>
    </row>
    <row r="74" spans="2:11" x14ac:dyDescent="0.25">
      <c r="B74" s="28"/>
      <c r="C74" s="4" t="s">
        <v>95</v>
      </c>
      <c r="D74" s="4"/>
      <c r="E74" s="4"/>
      <c r="G74" s="4"/>
      <c r="H74" s="4" t="s">
        <v>96</v>
      </c>
      <c r="I74" s="4"/>
      <c r="J74" s="28"/>
    </row>
    <row r="75" spans="2:11" x14ac:dyDescent="0.25">
      <c r="B75" s="26" t="s">
        <v>2</v>
      </c>
      <c r="C75" s="1">
        <f>250000*4</f>
        <v>1000000</v>
      </c>
      <c r="D75" s="5">
        <f>C75+C76+C77+C78</f>
        <v>1034999.9999999999</v>
      </c>
      <c r="E75" s="1" t="s">
        <v>98</v>
      </c>
      <c r="G75" s="1" t="str">
        <f>E84</f>
        <v>4)</v>
      </c>
      <c r="H75" s="1">
        <f>200000*4</f>
        <v>800000</v>
      </c>
      <c r="I75" s="5">
        <f>C75</f>
        <v>1000000</v>
      </c>
      <c r="J75" s="26" t="s">
        <v>2</v>
      </c>
    </row>
    <row r="76" spans="2:11" x14ac:dyDescent="0.25">
      <c r="B76" s="26" t="str">
        <f>J76</f>
        <v>2)</v>
      </c>
      <c r="C76" s="1">
        <f>I76</f>
        <v>10000</v>
      </c>
      <c r="D76" s="6"/>
      <c r="I76" s="6">
        <v>10000</v>
      </c>
      <c r="J76" s="26" t="s">
        <v>7</v>
      </c>
    </row>
    <row r="77" spans="2:11" x14ac:dyDescent="0.25">
      <c r="B77" s="26" t="str">
        <f>J77</f>
        <v>3)</v>
      </c>
      <c r="C77" s="1">
        <f>I77</f>
        <v>5000</v>
      </c>
      <c r="D77" s="6"/>
      <c r="G77" s="4"/>
      <c r="H77" s="4"/>
      <c r="I77" s="9">
        <v>5000</v>
      </c>
      <c r="J77" s="28" t="s">
        <v>9</v>
      </c>
    </row>
    <row r="78" spans="2:11" x14ac:dyDescent="0.25">
      <c r="B78" s="28" t="str">
        <f>E84</f>
        <v>4)</v>
      </c>
      <c r="C78" s="4">
        <f>200000*(4.1-4)</f>
        <v>19999.999999999927</v>
      </c>
      <c r="D78" s="9"/>
      <c r="E78" s="4"/>
      <c r="H78" s="1">
        <f>H75</f>
        <v>800000</v>
      </c>
      <c r="I78" s="6">
        <f>SUM(I75:I77)</f>
        <v>1015000</v>
      </c>
    </row>
    <row r="79" spans="2:11" ht="17.25" x14ac:dyDescent="0.4">
      <c r="C79" s="10">
        <f>SUM(C75:C78)</f>
        <v>1034999.9999999999</v>
      </c>
      <c r="D79" s="11">
        <f>D75</f>
        <v>1034999.9999999999</v>
      </c>
      <c r="G79" s="1" t="s">
        <v>10</v>
      </c>
      <c r="H79" s="1">
        <f>I78-H78</f>
        <v>215000</v>
      </c>
      <c r="I79" s="6"/>
    </row>
    <row r="80" spans="2:11" x14ac:dyDescent="0.25">
      <c r="D80" s="6"/>
      <c r="I80" s="6"/>
    </row>
    <row r="83" spans="1:11" x14ac:dyDescent="0.25">
      <c r="B83" s="28"/>
      <c r="C83" s="4" t="s">
        <v>97</v>
      </c>
      <c r="D83" s="4"/>
      <c r="E83" s="4"/>
      <c r="G83" s="4"/>
      <c r="H83" s="4" t="s">
        <v>99</v>
      </c>
      <c r="I83" s="4"/>
      <c r="J83" s="28"/>
    </row>
    <row r="84" spans="1:11" x14ac:dyDescent="0.25">
      <c r="B84" s="29" t="s">
        <v>101</v>
      </c>
      <c r="C84" s="7">
        <v>0</v>
      </c>
      <c r="D84" s="8">
        <f>200000*4.1</f>
        <v>819999.99999999988</v>
      </c>
      <c r="E84" s="7" t="s">
        <v>28</v>
      </c>
      <c r="G84" s="7" t="str">
        <f>E75</f>
        <v>5)</v>
      </c>
      <c r="H84" s="7">
        <f>D75</f>
        <v>1034999.9999999999</v>
      </c>
      <c r="I84" s="8">
        <v>0</v>
      </c>
      <c r="J84" s="29"/>
    </row>
    <row r="85" spans="1:11" x14ac:dyDescent="0.25">
      <c r="C85" s="1">
        <f>C84</f>
        <v>0</v>
      </c>
      <c r="D85" s="6">
        <f>D84</f>
        <v>819999.99999999988</v>
      </c>
      <c r="H85" s="1">
        <f>H84</f>
        <v>1034999.9999999999</v>
      </c>
      <c r="I85" s="6">
        <v>0</v>
      </c>
    </row>
    <row r="86" spans="1:11" x14ac:dyDescent="0.25">
      <c r="B86" s="26" t="s">
        <v>10</v>
      </c>
      <c r="C86" s="1">
        <f>D85-C85</f>
        <v>819999.99999999988</v>
      </c>
      <c r="D86" s="6"/>
      <c r="I86" s="6">
        <f>H85-I85</f>
        <v>1034999.9999999999</v>
      </c>
      <c r="J86" s="26" t="s">
        <v>10</v>
      </c>
    </row>
    <row r="87" spans="1:11" x14ac:dyDescent="0.25">
      <c r="D87" s="6"/>
      <c r="I87" s="6"/>
    </row>
    <row r="88" spans="1:11" x14ac:dyDescent="0.25">
      <c r="D88" s="6"/>
      <c r="I88" s="6"/>
    </row>
    <row r="89" spans="1:11" x14ac:dyDescent="0.25">
      <c r="D89" s="6"/>
      <c r="I89" s="6"/>
    </row>
    <row r="91" spans="1:11" x14ac:dyDescent="0.25">
      <c r="A91" s="14"/>
      <c r="B91" s="30"/>
      <c r="C91" s="14"/>
      <c r="D91" s="14"/>
      <c r="E91" s="14"/>
      <c r="F91" s="14"/>
      <c r="G91" s="14"/>
      <c r="H91" s="14"/>
      <c r="I91" s="14"/>
      <c r="J91" s="30"/>
      <c r="K91" s="14"/>
    </row>
    <row r="92" spans="1:11" x14ac:dyDescent="0.25">
      <c r="A92" s="14"/>
      <c r="B92" s="30"/>
      <c r="C92" s="165" t="s">
        <v>12</v>
      </c>
      <c r="D92" s="166"/>
      <c r="E92" s="166"/>
      <c r="F92" s="166"/>
      <c r="G92" s="166"/>
      <c r="H92" s="166"/>
      <c r="I92" s="166"/>
      <c r="J92" s="166"/>
      <c r="K92" s="167"/>
    </row>
    <row r="93" spans="1:11" x14ac:dyDescent="0.25">
      <c r="A93" s="14"/>
      <c r="B93" s="30"/>
      <c r="C93" s="5"/>
      <c r="D93" s="12" t="s">
        <v>14</v>
      </c>
      <c r="E93" s="12"/>
      <c r="F93" s="12"/>
      <c r="G93" s="12"/>
      <c r="H93" s="12" t="s">
        <v>15</v>
      </c>
      <c r="I93" s="12"/>
      <c r="J93" s="31"/>
      <c r="K93" s="13"/>
    </row>
    <row r="94" spans="1:11" x14ac:dyDescent="0.25">
      <c r="A94" s="14"/>
      <c r="B94" s="30"/>
      <c r="C94" s="6" t="str">
        <f>H83</f>
        <v>Środki trwałe</v>
      </c>
      <c r="D94" s="14"/>
      <c r="E94" s="14"/>
      <c r="F94" s="14">
        <f>I86</f>
        <v>1034999.9999999999</v>
      </c>
      <c r="G94" s="14"/>
      <c r="H94" s="14" t="str">
        <f>H74</f>
        <v>Zobowiązania wobec dostawców</v>
      </c>
      <c r="I94" s="14"/>
      <c r="J94" s="30"/>
      <c r="K94" s="15">
        <f>H79</f>
        <v>215000</v>
      </c>
    </row>
    <row r="95" spans="1:11" x14ac:dyDescent="0.25">
      <c r="A95" s="14"/>
      <c r="B95" s="30"/>
      <c r="C95" s="6"/>
      <c r="D95" s="14"/>
      <c r="E95" s="14"/>
      <c r="F95" s="14"/>
      <c r="G95" s="14"/>
      <c r="H95" s="14" t="s">
        <v>102</v>
      </c>
      <c r="I95" s="14"/>
      <c r="J95" s="30"/>
      <c r="K95" s="15">
        <f>C86</f>
        <v>819999.99999999988</v>
      </c>
    </row>
    <row r="96" spans="1:11" x14ac:dyDescent="0.25">
      <c r="A96" s="14"/>
      <c r="B96" s="30"/>
      <c r="C96" s="6"/>
      <c r="D96" s="14"/>
      <c r="E96" s="14"/>
      <c r="F96" s="14"/>
      <c r="G96" s="14"/>
      <c r="H96" s="14"/>
      <c r="I96" s="14"/>
      <c r="J96" s="30"/>
      <c r="K96" s="15"/>
    </row>
    <row r="97" spans="1:12" x14ac:dyDescent="0.25">
      <c r="A97" s="14"/>
      <c r="B97" s="30"/>
      <c r="C97" s="6"/>
      <c r="D97" s="14"/>
      <c r="E97" s="14"/>
      <c r="F97" s="14"/>
      <c r="G97" s="14"/>
      <c r="H97" s="14"/>
      <c r="I97" s="14"/>
      <c r="J97" s="30"/>
      <c r="K97" s="15"/>
    </row>
    <row r="98" spans="1:12" x14ac:dyDescent="0.25">
      <c r="A98" s="14"/>
      <c r="B98" s="30"/>
      <c r="C98" s="17" t="s">
        <v>17</v>
      </c>
      <c r="D98" s="18"/>
      <c r="E98" s="18"/>
      <c r="F98" s="18">
        <f>F94+F95+F96</f>
        <v>1034999.9999999999</v>
      </c>
      <c r="G98" s="18"/>
      <c r="H98" s="18" t="str">
        <f>C98</f>
        <v>RAZEM</v>
      </c>
      <c r="I98" s="18"/>
      <c r="J98" s="32"/>
      <c r="K98" s="19">
        <f>K94+K95</f>
        <v>1034999.9999999999</v>
      </c>
    </row>
    <row r="99" spans="1:12" x14ac:dyDescent="0.25">
      <c r="A99" s="14"/>
      <c r="B99" s="30"/>
      <c r="C99" s="14"/>
      <c r="D99" s="14"/>
      <c r="E99" s="14"/>
      <c r="F99" s="14"/>
      <c r="G99" s="14"/>
      <c r="H99" s="14"/>
      <c r="I99" s="14"/>
      <c r="J99" s="30"/>
      <c r="K99" s="14"/>
      <c r="L99" s="1">
        <f>F98-K98</f>
        <v>0</v>
      </c>
    </row>
    <row r="100" spans="1:12" x14ac:dyDescent="0.25">
      <c r="A100" s="14"/>
      <c r="B100" s="27" t="s">
        <v>103</v>
      </c>
      <c r="C100" s="2"/>
      <c r="D100" s="14"/>
      <c r="E100" s="14"/>
      <c r="F100" s="14"/>
      <c r="G100" s="14"/>
      <c r="H100" s="14"/>
      <c r="I100" s="14"/>
      <c r="J100" s="30"/>
      <c r="K100" s="14"/>
    </row>
    <row r="101" spans="1:12" x14ac:dyDescent="0.25">
      <c r="A101" s="14"/>
      <c r="B101" s="30"/>
      <c r="C101" s="14"/>
      <c r="D101" s="14"/>
      <c r="E101" s="14"/>
      <c r="F101" s="14"/>
      <c r="G101" s="14"/>
      <c r="H101" s="14" t="s">
        <v>106</v>
      </c>
      <c r="I101" s="14"/>
      <c r="J101" s="30"/>
      <c r="K101" s="14"/>
    </row>
    <row r="102" spans="1:12" x14ac:dyDescent="0.25">
      <c r="A102" s="14"/>
      <c r="B102" s="28"/>
      <c r="C102" s="4" t="s">
        <v>104</v>
      </c>
      <c r="D102" s="4"/>
      <c r="E102" s="4"/>
      <c r="G102" s="4"/>
      <c r="H102" s="4" t="s">
        <v>105</v>
      </c>
      <c r="I102" s="4"/>
      <c r="J102" s="28"/>
      <c r="K102" s="14"/>
    </row>
    <row r="103" spans="1:12" x14ac:dyDescent="0.25">
      <c r="A103" s="14"/>
      <c r="B103" s="26" t="s">
        <v>98</v>
      </c>
      <c r="C103" s="1">
        <v>1500</v>
      </c>
      <c r="D103" s="5">
        <v>1000</v>
      </c>
      <c r="E103" s="1" t="s">
        <v>7</v>
      </c>
      <c r="I103" s="5">
        <f>D103</f>
        <v>1000</v>
      </c>
      <c r="J103" s="26" t="str">
        <f>E103</f>
        <v>2)</v>
      </c>
      <c r="K103" s="14"/>
    </row>
    <row r="104" spans="1:12" x14ac:dyDescent="0.25">
      <c r="A104" s="14"/>
      <c r="D104" s="6">
        <v>100000</v>
      </c>
      <c r="E104" s="1" t="s">
        <v>110</v>
      </c>
      <c r="I104" s="6"/>
      <c r="K104" s="14"/>
    </row>
    <row r="105" spans="1:12" x14ac:dyDescent="0.25">
      <c r="A105" s="14"/>
      <c r="D105" s="6"/>
      <c r="G105" s="14"/>
      <c r="H105" s="14"/>
      <c r="I105" s="6"/>
      <c r="J105" s="30"/>
      <c r="K105" s="14"/>
    </row>
    <row r="106" spans="1:12" x14ac:dyDescent="0.25">
      <c r="A106" s="14"/>
      <c r="B106" s="30"/>
      <c r="C106" s="14"/>
      <c r="D106" s="6"/>
      <c r="E106" s="14"/>
      <c r="G106" s="14"/>
      <c r="H106" s="14"/>
      <c r="I106" s="6"/>
      <c r="J106" s="30"/>
      <c r="K106" s="14"/>
    </row>
    <row r="107" spans="1:12" ht="17.25" x14ac:dyDescent="0.4">
      <c r="A107" s="14"/>
      <c r="B107" s="30"/>
      <c r="C107" s="25"/>
      <c r="D107" s="11"/>
      <c r="E107" s="14"/>
      <c r="I107" s="6"/>
      <c r="K107" s="14"/>
    </row>
    <row r="108" spans="1:12" x14ac:dyDescent="0.25">
      <c r="D108" s="6"/>
      <c r="I108" s="6"/>
    </row>
    <row r="110" spans="1:12" x14ac:dyDescent="0.25">
      <c r="B110" s="28"/>
      <c r="C110" s="4" t="s">
        <v>107</v>
      </c>
      <c r="D110" s="4"/>
      <c r="E110" s="4"/>
      <c r="G110" s="4"/>
      <c r="H110" s="4" t="s">
        <v>108</v>
      </c>
      <c r="I110" s="4"/>
      <c r="J110" s="28"/>
    </row>
    <row r="111" spans="1:12" x14ac:dyDescent="0.25">
      <c r="B111" s="26" t="str">
        <f>E103</f>
        <v>2)</v>
      </c>
      <c r="C111" s="1">
        <f>D103</f>
        <v>1000</v>
      </c>
      <c r="D111" s="5"/>
      <c r="I111" s="5">
        <f>D104</f>
        <v>100000</v>
      </c>
      <c r="J111" s="26" t="str">
        <f>E104</f>
        <v>3-4)</v>
      </c>
    </row>
    <row r="112" spans="1:12" x14ac:dyDescent="0.25">
      <c r="D112" s="6"/>
      <c r="I112" s="6"/>
    </row>
    <row r="113" spans="2:10" x14ac:dyDescent="0.25">
      <c r="D113" s="6"/>
      <c r="G113" s="14"/>
      <c r="H113" s="14"/>
      <c r="I113" s="6"/>
      <c r="J113" s="30"/>
    </row>
    <row r="114" spans="2:10" x14ac:dyDescent="0.25">
      <c r="B114" s="30"/>
      <c r="C114" s="14"/>
      <c r="D114" s="6"/>
      <c r="E114" s="14"/>
      <c r="G114" s="14"/>
      <c r="H114" s="14"/>
      <c r="I114" s="6"/>
      <c r="J114" s="30"/>
    </row>
    <row r="115" spans="2:10" ht="17.25" x14ac:dyDescent="0.4">
      <c r="B115" s="30"/>
      <c r="C115" s="25"/>
      <c r="D115" s="11"/>
      <c r="E115" s="14"/>
      <c r="I115" s="6"/>
    </row>
    <row r="116" spans="2:10" x14ac:dyDescent="0.25">
      <c r="D116" s="6"/>
      <c r="I116" s="6"/>
    </row>
    <row r="118" spans="2:10" x14ac:dyDescent="0.25">
      <c r="B118" s="28"/>
      <c r="C118" s="4" t="s">
        <v>109</v>
      </c>
      <c r="D118" s="4"/>
      <c r="E118" s="4"/>
      <c r="G118" s="4"/>
      <c r="H118" s="4" t="s">
        <v>6</v>
      </c>
      <c r="I118" s="4"/>
      <c r="J118" s="28"/>
    </row>
    <row r="119" spans="2:10" x14ac:dyDescent="0.25">
      <c r="B119" s="26" t="str">
        <f>E104</f>
        <v>3-4)</v>
      </c>
      <c r="C119" s="1">
        <f>D104</f>
        <v>100000</v>
      </c>
      <c r="D119" s="5"/>
      <c r="G119" s="1" t="s">
        <v>101</v>
      </c>
      <c r="H119" s="1">
        <v>0</v>
      </c>
      <c r="I119" s="5">
        <v>2000</v>
      </c>
      <c r="J119" s="26" t="str">
        <f>B103</f>
        <v>5)</v>
      </c>
    </row>
    <row r="120" spans="2:10" x14ac:dyDescent="0.25">
      <c r="D120" s="6"/>
      <c r="I120" s="6"/>
    </row>
    <row r="121" spans="2:10" x14ac:dyDescent="0.25">
      <c r="D121" s="6"/>
      <c r="G121" s="14"/>
      <c r="H121" s="14"/>
      <c r="I121" s="6"/>
      <c r="J121" s="30"/>
    </row>
    <row r="122" spans="2:10" x14ac:dyDescent="0.25">
      <c r="B122" s="30"/>
      <c r="C122" s="14"/>
      <c r="D122" s="6"/>
      <c r="E122" s="14"/>
      <c r="G122" s="14"/>
      <c r="H122" s="14"/>
      <c r="I122" s="6"/>
      <c r="J122" s="30"/>
    </row>
    <row r="123" spans="2:10" ht="17.25" x14ac:dyDescent="0.4">
      <c r="B123" s="30"/>
      <c r="C123" s="25"/>
      <c r="D123" s="11"/>
      <c r="E123" s="14"/>
      <c r="I123" s="6"/>
    </row>
    <row r="124" spans="2:10" x14ac:dyDescent="0.25">
      <c r="D124" s="6"/>
      <c r="I124" s="6"/>
    </row>
    <row r="126" spans="2:10" x14ac:dyDescent="0.25">
      <c r="B126" s="28"/>
      <c r="C126" s="4" t="s">
        <v>26</v>
      </c>
      <c r="D126" s="4"/>
      <c r="E126" s="4"/>
      <c r="G126" s="4"/>
      <c r="H126" s="4" t="s">
        <v>111</v>
      </c>
      <c r="I126" s="4"/>
      <c r="J126" s="28"/>
    </row>
    <row r="127" spans="2:10" x14ac:dyDescent="0.25">
      <c r="B127" s="26" t="str">
        <f>J119</f>
        <v>5)</v>
      </c>
      <c r="C127" s="1">
        <f>I119-C103</f>
        <v>500</v>
      </c>
      <c r="D127" s="5"/>
      <c r="G127" s="1" t="s">
        <v>113</v>
      </c>
      <c r="H127" s="1">
        <v>20000</v>
      </c>
      <c r="I127" s="5"/>
    </row>
    <row r="128" spans="2:10" x14ac:dyDescent="0.25">
      <c r="D128" s="6"/>
      <c r="I128" s="6"/>
    </row>
    <row r="129" spans="2:12" x14ac:dyDescent="0.25">
      <c r="D129" s="6"/>
      <c r="G129" s="14"/>
      <c r="H129" s="14"/>
      <c r="I129" s="6"/>
      <c r="J129" s="30"/>
    </row>
    <row r="130" spans="2:12" x14ac:dyDescent="0.25">
      <c r="B130" s="30"/>
      <c r="C130" s="14"/>
      <c r="D130" s="6"/>
      <c r="E130" s="14"/>
      <c r="G130" s="14"/>
      <c r="H130" s="14"/>
      <c r="I130" s="6"/>
      <c r="J130" s="30"/>
    </row>
    <row r="131" spans="2:12" ht="17.25" x14ac:dyDescent="0.4">
      <c r="B131" s="30"/>
      <c r="C131" s="25"/>
      <c r="D131" s="11"/>
      <c r="E131" s="14"/>
      <c r="I131" s="6"/>
    </row>
    <row r="132" spans="2:12" x14ac:dyDescent="0.25">
      <c r="D132" s="6"/>
      <c r="I132" s="6"/>
    </row>
    <row r="134" spans="2:12" x14ac:dyDescent="0.25">
      <c r="B134" s="28"/>
      <c r="C134" s="4" t="s">
        <v>112</v>
      </c>
      <c r="D134" s="4"/>
      <c r="E134" s="4"/>
      <c r="G134" s="4"/>
      <c r="H134" s="4"/>
      <c r="I134" s="4"/>
      <c r="J134" s="28"/>
    </row>
    <row r="135" spans="2:12" x14ac:dyDescent="0.25">
      <c r="D135" s="5">
        <f>H127</f>
        <v>20000</v>
      </c>
      <c r="E135" s="1" t="str">
        <f>G127</f>
        <v>6)</v>
      </c>
      <c r="I135" s="5"/>
    </row>
    <row r="136" spans="2:12" x14ac:dyDescent="0.25">
      <c r="D136" s="6"/>
      <c r="I136" s="6"/>
    </row>
    <row r="138" spans="2:12" x14ac:dyDescent="0.25">
      <c r="C138" s="3" t="s">
        <v>130</v>
      </c>
    </row>
    <row r="140" spans="2:12" x14ac:dyDescent="0.25">
      <c r="C140" s="1" t="s">
        <v>131</v>
      </c>
    </row>
    <row r="141" spans="2:12" x14ac:dyDescent="0.25">
      <c r="K141" s="1" t="s">
        <v>140</v>
      </c>
    </row>
    <row r="142" spans="2:12" x14ac:dyDescent="0.25">
      <c r="C142" s="1" t="s">
        <v>132</v>
      </c>
      <c r="E142" s="1" t="s">
        <v>135</v>
      </c>
      <c r="K142" s="1" t="s">
        <v>143</v>
      </c>
    </row>
    <row r="143" spans="2:12" x14ac:dyDescent="0.25">
      <c r="C143" s="1" t="s">
        <v>133</v>
      </c>
      <c r="E143" s="26">
        <v>1</v>
      </c>
      <c r="F143" s="1">
        <v>100</v>
      </c>
      <c r="G143" s="1" t="s">
        <v>136</v>
      </c>
      <c r="H143" s="1">
        <v>100</v>
      </c>
      <c r="I143" s="1" t="s">
        <v>19</v>
      </c>
      <c r="K143" s="33" t="s">
        <v>132</v>
      </c>
      <c r="L143" s="1">
        <f>H148/F148</f>
        <v>88.775510204081627</v>
      </c>
    </row>
    <row r="144" spans="2:12" x14ac:dyDescent="0.25">
      <c r="C144" s="1" t="s">
        <v>134</v>
      </c>
      <c r="E144" s="26">
        <v>2</v>
      </c>
      <c r="F144" s="1">
        <v>90</v>
      </c>
      <c r="G144" s="1" t="s">
        <v>136</v>
      </c>
      <c r="H144" s="1">
        <v>90</v>
      </c>
      <c r="I144" s="1" t="s">
        <v>19</v>
      </c>
      <c r="L144" s="1">
        <f>L143*F148</f>
        <v>43500</v>
      </c>
    </row>
    <row r="145" spans="2:13" x14ac:dyDescent="0.25">
      <c r="E145" s="26">
        <v>3</v>
      </c>
      <c r="F145" s="1">
        <v>120</v>
      </c>
      <c r="G145" s="1" t="s">
        <v>136</v>
      </c>
      <c r="H145" s="1">
        <v>75</v>
      </c>
      <c r="I145" s="1" t="s">
        <v>19</v>
      </c>
      <c r="K145" s="1" t="s">
        <v>145</v>
      </c>
      <c r="L145" s="1">
        <v>250</v>
      </c>
      <c r="M145" s="33">
        <f>L145*L143</f>
        <v>22193.877551020407</v>
      </c>
    </row>
    <row r="146" spans="2:13" x14ac:dyDescent="0.25">
      <c r="E146" s="26">
        <v>4</v>
      </c>
      <c r="F146" s="1">
        <v>100</v>
      </c>
      <c r="G146" s="1" t="s">
        <v>136</v>
      </c>
      <c r="H146" s="1">
        <v>100</v>
      </c>
      <c r="I146" s="1" t="s">
        <v>19</v>
      </c>
      <c r="K146" s="1" t="s">
        <v>67</v>
      </c>
      <c r="M146" s="33">
        <f>D158-H166</f>
        <v>27806.122448979593</v>
      </c>
    </row>
    <row r="147" spans="2:13" x14ac:dyDescent="0.25">
      <c r="E147" s="26">
        <v>5</v>
      </c>
      <c r="F147" s="1">
        <v>80</v>
      </c>
      <c r="G147" s="1" t="s">
        <v>136</v>
      </c>
      <c r="H147" s="1">
        <v>80</v>
      </c>
      <c r="I147" s="1" t="s">
        <v>19</v>
      </c>
      <c r="K147" s="35" t="s">
        <v>133</v>
      </c>
      <c r="L147" s="1">
        <f>F143*H143</f>
        <v>10000</v>
      </c>
    </row>
    <row r="148" spans="2:13" x14ac:dyDescent="0.25">
      <c r="E148" s="26"/>
      <c r="F148" s="1">
        <f>SUM(F143:F147)</f>
        <v>490</v>
      </c>
      <c r="H148" s="1">
        <f>F143*H143+F144*H144+F145*H145+F146*H146+F147*H147</f>
        <v>43500</v>
      </c>
      <c r="L148" s="1">
        <f>F144*H144</f>
        <v>8100</v>
      </c>
    </row>
    <row r="149" spans="2:13" x14ac:dyDescent="0.25">
      <c r="L149" s="1">
        <f>(250-F143-F144)*H145</f>
        <v>4500</v>
      </c>
    </row>
    <row r="150" spans="2:13" x14ac:dyDescent="0.25">
      <c r="B150" s="28"/>
      <c r="C150" s="4" t="s">
        <v>137</v>
      </c>
      <c r="D150" s="4"/>
      <c r="E150" s="4"/>
      <c r="G150" s="4"/>
      <c r="H150" s="4" t="s">
        <v>104</v>
      </c>
      <c r="I150" s="4"/>
      <c r="J150" s="28"/>
      <c r="L150" s="35">
        <f>SUM(L147:L149)</f>
        <v>22600</v>
      </c>
    </row>
    <row r="151" spans="2:13" x14ac:dyDescent="0.25">
      <c r="B151" s="26">
        <f>E143</f>
        <v>1</v>
      </c>
      <c r="C151" s="1">
        <f>F143*H143</f>
        <v>10000</v>
      </c>
      <c r="D151" s="34">
        <f>M145</f>
        <v>22193.877551020407</v>
      </c>
      <c r="E151" s="33" t="s">
        <v>144</v>
      </c>
      <c r="I151" s="6">
        <f>C151</f>
        <v>10000</v>
      </c>
      <c r="J151" s="26">
        <f>B151</f>
        <v>1</v>
      </c>
      <c r="K151" s="1" t="s">
        <v>67</v>
      </c>
      <c r="M151" s="35">
        <f>D158-L150</f>
        <v>27400</v>
      </c>
    </row>
    <row r="152" spans="2:13" x14ac:dyDescent="0.25">
      <c r="B152" s="26">
        <f>E144</f>
        <v>2</v>
      </c>
      <c r="C152" s="1">
        <f>F144*H144</f>
        <v>8100</v>
      </c>
      <c r="D152" s="36">
        <f>L150</f>
        <v>22600</v>
      </c>
      <c r="E152" s="35" t="s">
        <v>144</v>
      </c>
      <c r="I152" s="6">
        <f>C152</f>
        <v>8100</v>
      </c>
      <c r="J152" s="26">
        <f>B152</f>
        <v>2</v>
      </c>
      <c r="K152" s="2" t="s">
        <v>134</v>
      </c>
      <c r="L152" s="1">
        <f>F147*H147</f>
        <v>6400</v>
      </c>
    </row>
    <row r="153" spans="2:13" x14ac:dyDescent="0.25">
      <c r="B153" s="26">
        <f>E145</f>
        <v>3</v>
      </c>
      <c r="C153" s="1">
        <f>F145*H145</f>
        <v>9000</v>
      </c>
      <c r="D153" s="37">
        <f>L155</f>
        <v>21650</v>
      </c>
      <c r="E153" s="2" t="s">
        <v>144</v>
      </c>
      <c r="I153" s="6">
        <f>C153</f>
        <v>9000</v>
      </c>
      <c r="J153" s="26">
        <f>B153</f>
        <v>3</v>
      </c>
      <c r="L153" s="1">
        <f>F146*H146</f>
        <v>10000</v>
      </c>
    </row>
    <row r="154" spans="2:13" x14ac:dyDescent="0.25">
      <c r="B154" s="26">
        <f>E146</f>
        <v>4</v>
      </c>
      <c r="C154" s="1">
        <f>F146*H146</f>
        <v>10000</v>
      </c>
      <c r="D154" s="6"/>
      <c r="I154" s="6">
        <f>C154</f>
        <v>10000</v>
      </c>
      <c r="J154" s="26">
        <f>B154</f>
        <v>4</v>
      </c>
      <c r="L154" s="1">
        <f>(250-F147-F146)*H145</f>
        <v>5250</v>
      </c>
    </row>
    <row r="155" spans="2:13" x14ac:dyDescent="0.25">
      <c r="B155" s="26">
        <f>E147</f>
        <v>5</v>
      </c>
      <c r="C155" s="1">
        <f>F147*H147</f>
        <v>6400</v>
      </c>
      <c r="I155" s="6">
        <f>C155</f>
        <v>6400</v>
      </c>
      <c r="J155" s="26">
        <f>B155</f>
        <v>5</v>
      </c>
      <c r="L155" s="2">
        <f>SUM(L152:L154)</f>
        <v>21650</v>
      </c>
    </row>
    <row r="156" spans="2:13" x14ac:dyDescent="0.25">
      <c r="K156" s="1" t="s">
        <v>67</v>
      </c>
      <c r="M156" s="2">
        <f>D158-L155</f>
        <v>28350</v>
      </c>
    </row>
    <row r="157" spans="2:13" x14ac:dyDescent="0.25">
      <c r="B157" s="28"/>
      <c r="C157" s="4" t="s">
        <v>138</v>
      </c>
      <c r="D157" s="4"/>
      <c r="E157" s="4"/>
      <c r="G157" s="4"/>
      <c r="H157" s="4" t="s">
        <v>139</v>
      </c>
      <c r="I157" s="4"/>
      <c r="J157" s="28"/>
    </row>
    <row r="158" spans="2:13" x14ac:dyDescent="0.25">
      <c r="D158" s="5">
        <f>250*200</f>
        <v>50000</v>
      </c>
      <c r="E158" s="1" t="str">
        <f>G158</f>
        <v>6)</v>
      </c>
      <c r="G158" s="1" t="s">
        <v>113</v>
      </c>
      <c r="H158" s="1">
        <f>(250*200)*1.23</f>
        <v>61500</v>
      </c>
      <c r="I158" s="6"/>
    </row>
    <row r="159" spans="2:13" x14ac:dyDescent="0.25">
      <c r="D159" s="6"/>
      <c r="I159" s="6"/>
    </row>
    <row r="160" spans="2:13" x14ac:dyDescent="0.25">
      <c r="D160" s="6"/>
      <c r="I160" s="6"/>
    </row>
    <row r="161" spans="2:10" x14ac:dyDescent="0.25">
      <c r="D161" s="6"/>
      <c r="I161" s="6"/>
    </row>
    <row r="162" spans="2:10" x14ac:dyDescent="0.25">
      <c r="I162" s="6"/>
    </row>
    <row r="165" spans="2:10" x14ac:dyDescent="0.25">
      <c r="B165" s="28"/>
      <c r="C165" s="4" t="s">
        <v>141</v>
      </c>
      <c r="D165" s="4"/>
      <c r="E165" s="4"/>
      <c r="G165" s="4"/>
      <c r="H165" s="4" t="s">
        <v>142</v>
      </c>
      <c r="I165" s="4"/>
      <c r="J165" s="28"/>
    </row>
    <row r="166" spans="2:10" x14ac:dyDescent="0.25">
      <c r="D166" s="5">
        <f>H158-D158</f>
        <v>11500</v>
      </c>
      <c r="E166" s="1" t="str">
        <f>E158</f>
        <v>6)</v>
      </c>
      <c r="G166" s="33" t="str">
        <f>E151</f>
        <v>7)</v>
      </c>
      <c r="H166" s="33">
        <f>D151</f>
        <v>22193.877551020407</v>
      </c>
      <c r="I166" s="6"/>
    </row>
    <row r="167" spans="2:10" x14ac:dyDescent="0.25">
      <c r="D167" s="6"/>
      <c r="G167" s="35" t="str">
        <f>E152</f>
        <v>7)</v>
      </c>
      <c r="H167" s="35">
        <f>D152</f>
        <v>22600</v>
      </c>
      <c r="I167" s="6"/>
    </row>
    <row r="168" spans="2:10" x14ac:dyDescent="0.25">
      <c r="D168" s="6"/>
      <c r="G168" s="2" t="str">
        <f>E153</f>
        <v>7)</v>
      </c>
      <c r="H168" s="2">
        <f>D153</f>
        <v>21650</v>
      </c>
      <c r="I168" s="6"/>
    </row>
    <row r="169" spans="2:10" x14ac:dyDescent="0.25">
      <c r="D169" s="6"/>
      <c r="I169" s="6"/>
    </row>
    <row r="170" spans="2:10" x14ac:dyDescent="0.25">
      <c r="B170" s="27" t="s">
        <v>146</v>
      </c>
      <c r="C170" s="2"/>
      <c r="I170" s="6"/>
    </row>
    <row r="172" spans="2:10" x14ac:dyDescent="0.25">
      <c r="B172" s="4"/>
      <c r="C172" s="4" t="s">
        <v>96</v>
      </c>
      <c r="D172" s="4"/>
      <c r="E172" s="28"/>
      <c r="G172" s="4"/>
      <c r="H172" s="4" t="s">
        <v>147</v>
      </c>
      <c r="I172" s="4"/>
      <c r="J172" s="28"/>
    </row>
    <row r="173" spans="2:10" x14ac:dyDescent="0.25">
      <c r="B173" s="1"/>
      <c r="D173" s="6">
        <v>6000</v>
      </c>
      <c r="E173" s="26" t="s">
        <v>2</v>
      </c>
      <c r="G173" s="1" t="str">
        <f>E173</f>
        <v>1)</v>
      </c>
      <c r="H173" s="1">
        <v>1000</v>
      </c>
      <c r="I173" s="6"/>
    </row>
    <row r="174" spans="2:10" x14ac:dyDescent="0.25">
      <c r="B174" s="1"/>
      <c r="D174" s="6">
        <f>C188*1.19</f>
        <v>119000</v>
      </c>
      <c r="E174" s="26" t="str">
        <f>B188</f>
        <v>3)</v>
      </c>
      <c r="G174" s="1" t="str">
        <f>E174</f>
        <v>3)</v>
      </c>
      <c r="H174" s="1">
        <f>D174-C188</f>
        <v>19000</v>
      </c>
      <c r="I174" s="6"/>
    </row>
    <row r="175" spans="2:10" x14ac:dyDescent="0.25">
      <c r="B175" s="4"/>
      <c r="C175" s="4"/>
      <c r="D175" s="9">
        <f>4000*1.2</f>
        <v>4800</v>
      </c>
      <c r="E175" s="28" t="s">
        <v>28</v>
      </c>
      <c r="G175" s="4" t="str">
        <f>E175</f>
        <v>4)</v>
      </c>
      <c r="H175" s="4">
        <f>D175-C181</f>
        <v>800</v>
      </c>
      <c r="I175" s="9"/>
      <c r="J175" s="28"/>
    </row>
    <row r="176" spans="2:10" x14ac:dyDescent="0.25">
      <c r="B176" s="1"/>
      <c r="C176" s="1">
        <v>0</v>
      </c>
      <c r="D176" s="6">
        <f>SUM(D173:D175)</f>
        <v>129800</v>
      </c>
      <c r="E176" s="26"/>
      <c r="H176" s="1">
        <f>SUM(H173:H175)</f>
        <v>20800</v>
      </c>
      <c r="I176" s="6">
        <v>0</v>
      </c>
    </row>
    <row r="177" spans="2:10" x14ac:dyDescent="0.25">
      <c r="B177" s="1" t="s">
        <v>31</v>
      </c>
      <c r="C177" s="1">
        <f>D176-C176</f>
        <v>129800</v>
      </c>
      <c r="D177" s="6"/>
      <c r="E177" s="26"/>
      <c r="I177" s="6">
        <f>H176-I176</f>
        <v>20800</v>
      </c>
      <c r="J177" s="26" t="s">
        <v>31</v>
      </c>
    </row>
    <row r="179" spans="2:10" x14ac:dyDescent="0.25">
      <c r="B179" s="4"/>
      <c r="C179" s="4" t="s">
        <v>148</v>
      </c>
      <c r="D179" s="4"/>
      <c r="E179" s="28"/>
      <c r="G179" s="4"/>
      <c r="H179" s="4" t="s">
        <v>137</v>
      </c>
      <c r="I179" s="4"/>
      <c r="J179" s="28"/>
    </row>
    <row r="180" spans="2:10" x14ac:dyDescent="0.25">
      <c r="B180" s="39" t="str">
        <f>E173</f>
        <v>1)</v>
      </c>
      <c r="C180" s="39">
        <f>D173-H173</f>
        <v>5000</v>
      </c>
      <c r="D180" s="6">
        <f>H180</f>
        <v>3000</v>
      </c>
      <c r="E180" s="26" t="str">
        <f>G180</f>
        <v>2)</v>
      </c>
      <c r="G180" s="1" t="s">
        <v>7</v>
      </c>
      <c r="H180" s="1">
        <v>3000</v>
      </c>
      <c r="I180" s="6"/>
    </row>
    <row r="181" spans="2:10" x14ac:dyDescent="0.25">
      <c r="B181" s="4" t="str">
        <f>E175</f>
        <v>4)</v>
      </c>
      <c r="C181" s="4">
        <v>4000</v>
      </c>
      <c r="D181" s="40">
        <f>C180</f>
        <v>5000</v>
      </c>
      <c r="E181" s="41" t="s">
        <v>98</v>
      </c>
      <c r="G181" s="4" t="str">
        <f>E181</f>
        <v>5)</v>
      </c>
      <c r="H181" s="4">
        <f>D181</f>
        <v>5000</v>
      </c>
      <c r="I181" s="9"/>
      <c r="J181" s="28"/>
    </row>
    <row r="182" spans="2:10" x14ac:dyDescent="0.25">
      <c r="B182" s="1"/>
      <c r="C182" s="1">
        <f>SUM(C180:C181)</f>
        <v>9000</v>
      </c>
      <c r="D182" s="6">
        <f>SUM(D180:D181)</f>
        <v>8000</v>
      </c>
      <c r="E182" s="26"/>
      <c r="H182" s="1">
        <f>SUM(H180:H181)</f>
        <v>8000</v>
      </c>
      <c r="I182" s="6">
        <v>0</v>
      </c>
    </row>
    <row r="183" spans="2:10" x14ac:dyDescent="0.25">
      <c r="B183" s="4" t="s">
        <v>31</v>
      </c>
      <c r="C183" s="4">
        <f>D180</f>
        <v>3000</v>
      </c>
      <c r="D183" s="9">
        <f>C181</f>
        <v>4000</v>
      </c>
      <c r="E183" s="28" t="s">
        <v>31</v>
      </c>
      <c r="I183" s="6">
        <f>H182-I182</f>
        <v>8000</v>
      </c>
      <c r="J183" s="26" t="s">
        <v>31</v>
      </c>
    </row>
    <row r="184" spans="2:10" ht="17.25" x14ac:dyDescent="0.4">
      <c r="B184" s="1"/>
      <c r="C184" s="10">
        <f>C182+C183</f>
        <v>12000</v>
      </c>
      <c r="D184" s="11">
        <f>D182+D183</f>
        <v>12000</v>
      </c>
      <c r="E184" s="26"/>
      <c r="I184" s="6"/>
    </row>
    <row r="185" spans="2:10" x14ac:dyDescent="0.25">
      <c r="B185" s="26" t="s">
        <v>149</v>
      </c>
    </row>
    <row r="186" spans="2:10" x14ac:dyDescent="0.25">
      <c r="B186" s="26" t="s">
        <v>150</v>
      </c>
    </row>
    <row r="187" spans="2:10" x14ac:dyDescent="0.25">
      <c r="B187" s="4"/>
      <c r="C187" s="4" t="s">
        <v>114</v>
      </c>
      <c r="D187" s="4"/>
      <c r="E187" s="28"/>
      <c r="G187" s="4"/>
      <c r="H187" s="4"/>
      <c r="I187" s="4"/>
      <c r="J187" s="28"/>
    </row>
    <row r="188" spans="2:10" x14ac:dyDescent="0.25">
      <c r="B188" s="7" t="s">
        <v>9</v>
      </c>
      <c r="C188" s="7">
        <v>100000</v>
      </c>
      <c r="D188" s="8"/>
      <c r="E188" s="29"/>
      <c r="I188" s="6"/>
    </row>
    <row r="189" spans="2:10" x14ac:dyDescent="0.25">
      <c r="B189" s="1"/>
      <c r="C189" s="1">
        <f>C188</f>
        <v>100000</v>
      </c>
      <c r="D189" s="6">
        <v>0</v>
      </c>
      <c r="E189" s="26"/>
      <c r="I189" s="6"/>
    </row>
    <row r="190" spans="2:10" x14ac:dyDescent="0.25">
      <c r="B190" s="1"/>
      <c r="D190" s="6">
        <f>C189-D189</f>
        <v>100000</v>
      </c>
      <c r="E190" s="26" t="s">
        <v>31</v>
      </c>
      <c r="I190" s="6"/>
    </row>
    <row r="191" spans="2:10" x14ac:dyDescent="0.25">
      <c r="B191" s="1"/>
      <c r="D191" s="6"/>
      <c r="E191" s="26"/>
      <c r="I191" s="6"/>
    </row>
    <row r="192" spans="2:10" x14ac:dyDescent="0.25">
      <c r="B192" s="165" t="s">
        <v>12</v>
      </c>
      <c r="C192" s="166"/>
      <c r="D192" s="166"/>
      <c r="E192" s="166"/>
      <c r="F192" s="166"/>
      <c r="G192" s="166"/>
      <c r="H192" s="166"/>
      <c r="I192" s="166"/>
      <c r="J192" s="167"/>
    </row>
    <row r="193" spans="2:10" x14ac:dyDescent="0.25">
      <c r="B193" s="5"/>
      <c r="C193" s="12" t="s">
        <v>14</v>
      </c>
      <c r="D193" s="12"/>
      <c r="E193" s="12"/>
      <c r="F193" s="12"/>
      <c r="G193" s="12" t="s">
        <v>15</v>
      </c>
      <c r="H193" s="12"/>
      <c r="I193" s="31"/>
      <c r="J193" s="123"/>
    </row>
    <row r="194" spans="2:10" x14ac:dyDescent="0.25">
      <c r="B194" s="6"/>
      <c r="C194" s="14" t="s">
        <v>153</v>
      </c>
      <c r="D194" s="14"/>
      <c r="E194" s="14"/>
      <c r="F194" s="14"/>
      <c r="G194" s="14"/>
      <c r="H194" s="14"/>
      <c r="I194" s="30"/>
      <c r="J194" s="46"/>
    </row>
    <row r="195" spans="2:10" x14ac:dyDescent="0.25">
      <c r="B195" s="6"/>
      <c r="C195" s="14" t="str">
        <f>C187</f>
        <v>Środki trwałe w budowie</v>
      </c>
      <c r="D195" s="14"/>
      <c r="E195" s="14"/>
      <c r="F195" s="14">
        <f>D190</f>
        <v>100000</v>
      </c>
      <c r="G195" s="14"/>
      <c r="H195" s="1" t="s">
        <v>34</v>
      </c>
      <c r="J195" s="46"/>
    </row>
    <row r="196" spans="2:10" x14ac:dyDescent="0.25">
      <c r="B196" s="6"/>
      <c r="C196" s="14" t="s">
        <v>154</v>
      </c>
      <c r="D196" s="14"/>
      <c r="E196" s="14"/>
      <c r="F196" s="14"/>
      <c r="G196" s="14"/>
      <c r="J196" s="46"/>
    </row>
    <row r="197" spans="2:10" x14ac:dyDescent="0.25">
      <c r="B197" s="6"/>
      <c r="C197" s="14" t="str">
        <f>H179</f>
        <v>Towary</v>
      </c>
      <c r="D197" s="14"/>
      <c r="E197" s="14"/>
      <c r="F197" s="14">
        <f>I183</f>
        <v>8000</v>
      </c>
      <c r="G197" s="14"/>
      <c r="H197" s="14" t="str">
        <f>C172</f>
        <v>Zobowiązania wobec dostawców</v>
      </c>
      <c r="I197" s="30">
        <f>C177</f>
        <v>129800</v>
      </c>
      <c r="J197" s="46"/>
    </row>
    <row r="198" spans="2:10" x14ac:dyDescent="0.25">
      <c r="B198" s="6"/>
      <c r="C198" s="14" t="str">
        <f>H172</f>
        <v>VAT - naliczony</v>
      </c>
      <c r="D198" s="14"/>
      <c r="E198" s="14"/>
      <c r="F198" s="14">
        <f>I177</f>
        <v>20800</v>
      </c>
      <c r="G198" s="14"/>
      <c r="H198" s="14" t="s">
        <v>152</v>
      </c>
      <c r="I198" s="30">
        <f>C183</f>
        <v>3000</v>
      </c>
      <c r="J198" s="46"/>
    </row>
    <row r="199" spans="2:10" x14ac:dyDescent="0.25">
      <c r="B199" s="6"/>
      <c r="C199" s="14" t="s">
        <v>151</v>
      </c>
      <c r="D199" s="14"/>
      <c r="E199" s="14"/>
      <c r="F199" s="14">
        <f>D183</f>
        <v>4000</v>
      </c>
      <c r="G199" s="14"/>
      <c r="H199" s="14"/>
      <c r="I199" s="30"/>
      <c r="J199" s="46"/>
    </row>
    <row r="200" spans="2:10" x14ac:dyDescent="0.25">
      <c r="B200" s="17" t="s">
        <v>17</v>
      </c>
      <c r="C200" s="18"/>
      <c r="D200" s="18"/>
      <c r="E200" s="18"/>
      <c r="F200" s="18">
        <f>SUM(F195:F199)</f>
        <v>132800</v>
      </c>
      <c r="G200" s="18" t="str">
        <f>B200</f>
        <v>RAZEM</v>
      </c>
      <c r="H200" s="18"/>
      <c r="I200" s="18">
        <f>SUM(I197:I199)</f>
        <v>132800</v>
      </c>
      <c r="J200" s="124"/>
    </row>
    <row r="202" spans="2:10" x14ac:dyDescent="0.25">
      <c r="B202" s="27" t="s">
        <v>182</v>
      </c>
      <c r="C202" s="2"/>
    </row>
    <row r="203" spans="2:10" x14ac:dyDescent="0.25">
      <c r="C203" s="1" t="s">
        <v>184</v>
      </c>
    </row>
    <row r="204" spans="2:10" x14ac:dyDescent="0.25">
      <c r="B204" s="28"/>
      <c r="C204" s="4" t="s">
        <v>137</v>
      </c>
      <c r="D204" s="4"/>
      <c r="E204" s="4"/>
      <c r="G204" s="28"/>
      <c r="H204" s="4" t="s">
        <v>142</v>
      </c>
      <c r="I204" s="4"/>
      <c r="J204" s="28"/>
    </row>
    <row r="205" spans="2:10" x14ac:dyDescent="0.25">
      <c r="B205" s="26" t="s">
        <v>183</v>
      </c>
      <c r="C205" s="1" t="s">
        <v>100</v>
      </c>
      <c r="D205" s="5">
        <v>60000</v>
      </c>
      <c r="E205" s="1" t="s">
        <v>185</v>
      </c>
      <c r="G205" s="26" t="str">
        <f>E205</f>
        <v>1a)</v>
      </c>
      <c r="H205" s="1">
        <f>D205</f>
        <v>60000</v>
      </c>
      <c r="I205" s="5"/>
    </row>
    <row r="206" spans="2:10" x14ac:dyDescent="0.25">
      <c r="D206" s="6" t="s">
        <v>186</v>
      </c>
      <c r="G206" s="26"/>
      <c r="I206" s="6"/>
    </row>
    <row r="207" spans="2:10" x14ac:dyDescent="0.25">
      <c r="D207" s="6">
        <f>I213*0.5</f>
        <v>100000</v>
      </c>
      <c r="E207" s="1" t="s">
        <v>190</v>
      </c>
      <c r="G207" s="26" t="str">
        <f>E207</f>
        <v>2a)</v>
      </c>
      <c r="H207" s="1">
        <f>D207</f>
        <v>100000</v>
      </c>
      <c r="I207" s="6"/>
    </row>
    <row r="208" spans="2:10" x14ac:dyDescent="0.25">
      <c r="D208" s="6" t="s">
        <v>189</v>
      </c>
      <c r="G208" s="26"/>
      <c r="I208" s="6"/>
    </row>
    <row r="209" spans="2:10" x14ac:dyDescent="0.25">
      <c r="D209" s="6"/>
      <c r="G209" s="26"/>
      <c r="I209" s="6"/>
    </row>
    <row r="211" spans="2:10" x14ac:dyDescent="0.25">
      <c r="B211" s="28"/>
      <c r="C211" s="4" t="s">
        <v>187</v>
      </c>
      <c r="D211" s="4"/>
      <c r="E211" s="4"/>
      <c r="G211" s="28"/>
      <c r="H211" s="4" t="s">
        <v>188</v>
      </c>
      <c r="I211" s="4"/>
      <c r="J211" s="28"/>
    </row>
    <row r="212" spans="2:10" x14ac:dyDescent="0.25">
      <c r="B212" s="26" t="s">
        <v>2</v>
      </c>
      <c r="C212" s="1">
        <v>100000</v>
      </c>
      <c r="D212" s="65">
        <v>100000</v>
      </c>
      <c r="E212" s="1" t="s">
        <v>9</v>
      </c>
      <c r="G212" s="26"/>
      <c r="I212" s="5">
        <f>C212</f>
        <v>100000</v>
      </c>
      <c r="J212" s="26" t="str">
        <f>B212</f>
        <v>1)</v>
      </c>
    </row>
    <row r="213" spans="2:10" x14ac:dyDescent="0.25">
      <c r="B213" s="26" t="s">
        <v>7</v>
      </c>
      <c r="C213" s="1">
        <v>200000</v>
      </c>
      <c r="D213" s="6" t="s">
        <v>191</v>
      </c>
      <c r="G213" s="26"/>
      <c r="I213" s="6">
        <f>C213</f>
        <v>200000</v>
      </c>
      <c r="J213" s="26" t="str">
        <f>B213</f>
        <v>2)</v>
      </c>
    </row>
    <row r="214" spans="2:10" x14ac:dyDescent="0.25">
      <c r="C214" s="1" t="s">
        <v>215</v>
      </c>
      <c r="D214" s="6"/>
      <c r="G214" s="26"/>
      <c r="I214" s="6"/>
    </row>
    <row r="215" spans="2:10" x14ac:dyDescent="0.25">
      <c r="D215" s="6"/>
      <c r="G215" s="26"/>
      <c r="I215" s="6"/>
    </row>
    <row r="216" spans="2:10" x14ac:dyDescent="0.25">
      <c r="D216" s="6"/>
      <c r="G216" s="26"/>
      <c r="I216" s="6"/>
    </row>
    <row r="219" spans="2:10" x14ac:dyDescent="0.25">
      <c r="B219" s="28"/>
      <c r="C219" s="4" t="s">
        <v>192</v>
      </c>
      <c r="D219" s="4"/>
      <c r="E219" s="4"/>
      <c r="G219" s="28"/>
      <c r="H219" s="4" t="s">
        <v>6</v>
      </c>
      <c r="I219" s="4"/>
      <c r="J219" s="28"/>
    </row>
    <row r="220" spans="2:10" x14ac:dyDescent="0.25">
      <c r="B220" s="26" t="str">
        <f>E212</f>
        <v>3)</v>
      </c>
      <c r="C220" s="33">
        <f>D212*0.9</f>
        <v>90000</v>
      </c>
      <c r="D220" s="34">
        <f>C220</f>
        <v>90000</v>
      </c>
      <c r="E220" s="1" t="s">
        <v>28</v>
      </c>
      <c r="G220" s="26" t="str">
        <f>E220</f>
        <v>4)</v>
      </c>
      <c r="H220" s="1">
        <f>D220</f>
        <v>90000</v>
      </c>
      <c r="I220" s="63">
        <f>H221</f>
        <v>100000</v>
      </c>
      <c r="J220" s="26" t="s">
        <v>113</v>
      </c>
    </row>
    <row r="221" spans="2:10" x14ac:dyDescent="0.25">
      <c r="C221" s="1" t="s">
        <v>193</v>
      </c>
      <c r="D221" s="6"/>
      <c r="G221" s="26" t="s">
        <v>98</v>
      </c>
      <c r="H221" s="35">
        <v>100000</v>
      </c>
      <c r="I221" s="6" t="s">
        <v>195</v>
      </c>
    </row>
    <row r="222" spans="2:10" x14ac:dyDescent="0.25">
      <c r="B222" s="26" t="s">
        <v>113</v>
      </c>
      <c r="C222" s="38">
        <f>I220</f>
        <v>100000</v>
      </c>
      <c r="D222" s="36">
        <f>D212</f>
        <v>100000</v>
      </c>
      <c r="E222" s="1" t="str">
        <f>G221</f>
        <v>5)</v>
      </c>
      <c r="G222" s="26" t="s">
        <v>144</v>
      </c>
      <c r="H222" s="1">
        <f>C213*0.95</f>
        <v>190000</v>
      </c>
      <c r="I222" s="6"/>
    </row>
    <row r="223" spans="2:10" x14ac:dyDescent="0.25">
      <c r="D223" s="6" t="s">
        <v>194</v>
      </c>
      <c r="G223" s="26"/>
      <c r="I223" s="6"/>
    </row>
    <row r="224" spans="2:10" x14ac:dyDescent="0.25">
      <c r="D224" s="6">
        <f>H222+C228</f>
        <v>200000</v>
      </c>
      <c r="E224" s="1" t="str">
        <f>G222</f>
        <v>7)</v>
      </c>
      <c r="G224" s="26"/>
      <c r="I224" s="6"/>
    </row>
    <row r="225" spans="2:10" x14ac:dyDescent="0.25">
      <c r="B225" s="1"/>
      <c r="E225" s="26"/>
    </row>
    <row r="226" spans="2:10" x14ac:dyDescent="0.25">
      <c r="B226" s="28"/>
      <c r="C226" s="4" t="s">
        <v>26</v>
      </c>
      <c r="D226" s="4"/>
      <c r="E226" s="4"/>
      <c r="G226" s="28"/>
      <c r="H226" s="4"/>
      <c r="I226" s="4"/>
      <c r="J226" s="28"/>
    </row>
    <row r="227" spans="2:10" x14ac:dyDescent="0.25">
      <c r="B227" s="26" t="str">
        <f>B220</f>
        <v>3)</v>
      </c>
      <c r="C227" s="64">
        <f>D212-C220</f>
        <v>10000</v>
      </c>
      <c r="D227" s="5"/>
      <c r="G227" s="26"/>
      <c r="I227" s="5"/>
    </row>
    <row r="228" spans="2:10" x14ac:dyDescent="0.25">
      <c r="B228" s="26" t="str">
        <f>G222</f>
        <v>7)</v>
      </c>
      <c r="C228" s="1">
        <f>C213*0.05</f>
        <v>10000</v>
      </c>
      <c r="D228" s="6"/>
      <c r="G228" s="26"/>
      <c r="I228" s="6"/>
    </row>
    <row r="229" spans="2:10" x14ac:dyDescent="0.25">
      <c r="D229" s="6"/>
      <c r="G229" s="26"/>
      <c r="I229" s="6"/>
    </row>
    <row r="230" spans="2:10" x14ac:dyDescent="0.25">
      <c r="B230" s="27" t="s">
        <v>216</v>
      </c>
      <c r="C230" s="2"/>
      <c r="D230" s="6"/>
      <c r="G230" s="26"/>
      <c r="I230" s="6"/>
    </row>
    <row r="231" spans="2:10" x14ac:dyDescent="0.25">
      <c r="D231" s="6"/>
      <c r="F231" s="1">
        <f>D234+D242</f>
        <v>7602</v>
      </c>
      <c r="G231" s="26"/>
      <c r="I231" s="6"/>
    </row>
    <row r="232" spans="2:10" x14ac:dyDescent="0.25">
      <c r="F232" s="1">
        <f>H235</f>
        <v>7980</v>
      </c>
    </row>
    <row r="233" spans="2:10" x14ac:dyDescent="0.25">
      <c r="B233" s="28"/>
      <c r="C233" s="4" t="s">
        <v>227</v>
      </c>
      <c r="D233" s="4"/>
      <c r="E233" s="4"/>
      <c r="F233" s="1">
        <f>F232-F231</f>
        <v>378</v>
      </c>
      <c r="G233" s="28"/>
      <c r="H233" s="4" t="s">
        <v>6</v>
      </c>
      <c r="I233" s="4"/>
      <c r="J233" s="28"/>
    </row>
    <row r="234" spans="2:10" x14ac:dyDescent="0.25">
      <c r="B234" s="26" t="s">
        <v>2</v>
      </c>
      <c r="C234" s="1">
        <f>2000*4</f>
        <v>8000</v>
      </c>
      <c r="D234" s="63">
        <f>(1900-20)*4</f>
        <v>7520</v>
      </c>
      <c r="E234" s="38" t="s">
        <v>9</v>
      </c>
      <c r="G234" s="26" t="s">
        <v>101</v>
      </c>
      <c r="H234" s="1">
        <v>8000</v>
      </c>
      <c r="I234" s="5">
        <f>C234</f>
        <v>8000</v>
      </c>
      <c r="J234" s="26" t="str">
        <f>B234</f>
        <v>1)</v>
      </c>
    </row>
    <row r="235" spans="2:10" x14ac:dyDescent="0.25">
      <c r="B235" s="26" t="str">
        <f>E235</f>
        <v>3*)</v>
      </c>
      <c r="C235" s="35">
        <f>1880*(4.2-4)</f>
        <v>376.00000000000034</v>
      </c>
      <c r="D235" s="36">
        <f>1880*4.2</f>
        <v>7896</v>
      </c>
      <c r="E235" s="1" t="s">
        <v>218</v>
      </c>
      <c r="G235" s="50" t="s">
        <v>9</v>
      </c>
      <c r="H235" s="38">
        <f>1900*4.2</f>
        <v>7980</v>
      </c>
      <c r="I235" s="6"/>
    </row>
    <row r="236" spans="2:10" x14ac:dyDescent="0.25">
      <c r="D236" s="6"/>
      <c r="G236" s="51" t="str">
        <f>E235</f>
        <v>3*)</v>
      </c>
      <c r="H236" s="35">
        <f>D235+D243</f>
        <v>7980</v>
      </c>
      <c r="I236" s="6"/>
    </row>
    <row r="237" spans="2:10" x14ac:dyDescent="0.25">
      <c r="D237" s="6"/>
      <c r="G237" s="26" t="str">
        <f>E250</f>
        <v>4)</v>
      </c>
      <c r="H237" s="1">
        <f>D250</f>
        <v>12150</v>
      </c>
      <c r="I237" s="6"/>
    </row>
    <row r="238" spans="2:10" x14ac:dyDescent="0.25">
      <c r="D238" s="6"/>
      <c r="G238" s="26"/>
      <c r="I238" s="6"/>
    </row>
    <row r="239" spans="2:10" x14ac:dyDescent="0.25">
      <c r="D239" s="6"/>
      <c r="G239" s="26"/>
      <c r="I239" s="6"/>
    </row>
    <row r="241" spans="2:10" x14ac:dyDescent="0.25">
      <c r="B241" s="28"/>
      <c r="C241" s="4" t="s">
        <v>228</v>
      </c>
      <c r="D241" s="4"/>
      <c r="E241" s="4"/>
      <c r="G241" s="28"/>
      <c r="H241" s="4" t="s">
        <v>217</v>
      </c>
      <c r="I241" s="4"/>
      <c r="J241" s="28"/>
    </row>
    <row r="242" spans="2:10" x14ac:dyDescent="0.25">
      <c r="B242" s="26" t="s">
        <v>7</v>
      </c>
      <c r="C242" s="1">
        <f>20*4.1</f>
        <v>82</v>
      </c>
      <c r="D242" s="63">
        <f>C242</f>
        <v>82</v>
      </c>
      <c r="E242" s="38" t="str">
        <f>E234</f>
        <v>3)</v>
      </c>
      <c r="G242" s="26"/>
      <c r="I242" s="5">
        <f>C242</f>
        <v>82</v>
      </c>
      <c r="J242" s="26" t="str">
        <f>B242</f>
        <v>2)</v>
      </c>
    </row>
    <row r="243" spans="2:10" x14ac:dyDescent="0.25">
      <c r="B243" s="26" t="str">
        <f>E243</f>
        <v>3*)</v>
      </c>
      <c r="C243" s="35">
        <f>20*(4.2-4.1)</f>
        <v>2.0000000000000107</v>
      </c>
      <c r="D243" s="36">
        <f>20*4.2</f>
        <v>84</v>
      </c>
      <c r="E243" s="1" t="s">
        <v>218</v>
      </c>
      <c r="G243" s="26"/>
      <c r="I243" s="49">
        <f>F233</f>
        <v>378</v>
      </c>
      <c r="J243" s="50" t="str">
        <f>G235</f>
        <v>3)</v>
      </c>
    </row>
    <row r="244" spans="2:10" x14ac:dyDescent="0.25">
      <c r="D244" s="6"/>
      <c r="G244" s="26"/>
      <c r="I244" s="36">
        <f>C235+C243</f>
        <v>378.00000000000034</v>
      </c>
      <c r="J244" s="26" t="str">
        <f>E235</f>
        <v>3*)</v>
      </c>
    </row>
    <row r="245" spans="2:10" x14ac:dyDescent="0.25">
      <c r="D245" s="6"/>
      <c r="G245" s="26"/>
      <c r="I245" s="6"/>
    </row>
    <row r="246" spans="2:10" x14ac:dyDescent="0.25">
      <c r="D246" s="6"/>
      <c r="G246" s="26"/>
      <c r="I246" s="6"/>
    </row>
    <row r="247" spans="2:10" x14ac:dyDescent="0.25">
      <c r="D247" s="6"/>
      <c r="G247" s="26"/>
      <c r="I247" s="6"/>
    </row>
    <row r="249" spans="2:10" x14ac:dyDescent="0.25">
      <c r="B249" s="28"/>
      <c r="C249" s="4" t="s">
        <v>219</v>
      </c>
      <c r="D249" s="4"/>
      <c r="E249" s="4"/>
      <c r="G249" s="28"/>
      <c r="H249" s="4" t="s">
        <v>229</v>
      </c>
      <c r="I249" s="4"/>
      <c r="J249" s="28"/>
    </row>
    <row r="250" spans="2:10" x14ac:dyDescent="0.25">
      <c r="D250" s="5">
        <f>3000*4.05</f>
        <v>12150</v>
      </c>
      <c r="E250" s="1" t="s">
        <v>28</v>
      </c>
      <c r="G250" s="26" t="s">
        <v>113</v>
      </c>
      <c r="H250" s="1">
        <f>I250</f>
        <v>20.75</v>
      </c>
      <c r="I250" s="5">
        <f>5*4.15</f>
        <v>20.75</v>
      </c>
      <c r="J250" s="26" t="s">
        <v>98</v>
      </c>
    </row>
    <row r="251" spans="2:10" x14ac:dyDescent="0.25">
      <c r="D251" s="6">
        <f>H250</f>
        <v>20.75</v>
      </c>
      <c r="E251" s="1" t="str">
        <f>G250</f>
        <v>6)</v>
      </c>
      <c r="G251" s="26"/>
      <c r="I251" s="6"/>
    </row>
    <row r="252" spans="2:10" x14ac:dyDescent="0.25">
      <c r="D252" s="6"/>
      <c r="G252" s="26"/>
      <c r="I252" s="6"/>
    </row>
    <row r="253" spans="2:10" x14ac:dyDescent="0.25">
      <c r="D253" s="6"/>
      <c r="G253" s="26"/>
      <c r="I253" s="6"/>
    </row>
    <row r="254" spans="2:10" x14ac:dyDescent="0.25">
      <c r="D254" s="6"/>
      <c r="G254" s="26"/>
      <c r="I254" s="6"/>
    </row>
    <row r="255" spans="2:10" x14ac:dyDescent="0.25">
      <c r="D255" s="6"/>
      <c r="G255" s="26"/>
      <c r="I255" s="6"/>
    </row>
    <row r="257" spans="2:10" x14ac:dyDescent="0.25">
      <c r="B257" s="28"/>
      <c r="C257" s="4" t="s">
        <v>26</v>
      </c>
      <c r="D257" s="4"/>
      <c r="E257" s="4"/>
      <c r="G257" s="28"/>
      <c r="H257" s="4"/>
      <c r="I257" s="4"/>
      <c r="J257" s="28"/>
    </row>
    <row r="258" spans="2:10" x14ac:dyDescent="0.25">
      <c r="B258" s="26" t="str">
        <f>J250</f>
        <v>5)</v>
      </c>
      <c r="C258" s="1">
        <f>I250</f>
        <v>20.75</v>
      </c>
      <c r="D258" s="5"/>
      <c r="G258" s="26"/>
      <c r="I258" s="5"/>
    </row>
    <row r="259" spans="2:10" x14ac:dyDescent="0.25">
      <c r="D259" s="6"/>
      <c r="G259" s="26"/>
      <c r="I259" s="6"/>
    </row>
    <row r="260" spans="2:10" x14ac:dyDescent="0.25">
      <c r="D260" s="6"/>
      <c r="G260" s="26"/>
      <c r="I260" s="6"/>
    </row>
    <row r="261" spans="2:10" x14ac:dyDescent="0.25">
      <c r="D261" s="6"/>
      <c r="G261" s="26"/>
      <c r="I261" s="6"/>
    </row>
    <row r="262" spans="2:10" x14ac:dyDescent="0.25">
      <c r="D262" s="6"/>
      <c r="G262" s="26"/>
      <c r="I262" s="6"/>
    </row>
    <row r="263" spans="2:10" x14ac:dyDescent="0.25">
      <c r="B263" s="27" t="s">
        <v>220</v>
      </c>
      <c r="C263" s="2"/>
      <c r="D263" s="6"/>
      <c r="G263" s="26"/>
      <c r="I263" s="6"/>
    </row>
    <row r="265" spans="2:10" x14ac:dyDescent="0.25">
      <c r="B265" s="28"/>
      <c r="C265" s="4" t="s">
        <v>137</v>
      </c>
      <c r="D265" s="4"/>
      <c r="E265" s="4"/>
      <c r="G265" s="28"/>
      <c r="H265" s="4" t="s">
        <v>96</v>
      </c>
      <c r="I265" s="4"/>
      <c r="J265" s="28"/>
    </row>
    <row r="266" spans="2:10" x14ac:dyDescent="0.25">
      <c r="B266" s="26" t="s">
        <v>2</v>
      </c>
      <c r="C266" s="1">
        <v>5000</v>
      </c>
      <c r="D266" s="5">
        <f>H287</f>
        <v>5000</v>
      </c>
      <c r="E266" s="1" t="str">
        <f>G287</f>
        <v>4)</v>
      </c>
      <c r="G266" s="26" t="str">
        <f>J273</f>
        <v>2)</v>
      </c>
      <c r="H266" s="1">
        <f>I266</f>
        <v>6150</v>
      </c>
      <c r="I266" s="5">
        <f>C266*1.23</f>
        <v>6150</v>
      </c>
      <c r="J266" s="26" t="str">
        <f>B266</f>
        <v>1)</v>
      </c>
    </row>
    <row r="267" spans="2:10" x14ac:dyDescent="0.25">
      <c r="B267" s="26" t="s">
        <v>113</v>
      </c>
      <c r="C267" s="1">
        <v>6000</v>
      </c>
      <c r="D267" s="6"/>
      <c r="G267" s="26" t="s">
        <v>144</v>
      </c>
      <c r="H267" s="1">
        <f>I267</f>
        <v>7380</v>
      </c>
      <c r="I267" s="6">
        <f>C267*1.23</f>
        <v>7380</v>
      </c>
      <c r="J267" s="26" t="str">
        <f>B267</f>
        <v>6)</v>
      </c>
    </row>
    <row r="268" spans="2:10" x14ac:dyDescent="0.25">
      <c r="D268" s="6"/>
      <c r="G268" s="26"/>
      <c r="I268" s="6"/>
    </row>
    <row r="269" spans="2:10" x14ac:dyDescent="0.25">
      <c r="D269" s="6"/>
      <c r="G269" s="26"/>
      <c r="I269" s="6"/>
    </row>
    <row r="270" spans="2:10" x14ac:dyDescent="0.25">
      <c r="D270" s="6"/>
      <c r="G270" s="26"/>
      <c r="I270" s="6"/>
    </row>
    <row r="272" spans="2:10" x14ac:dyDescent="0.25">
      <c r="B272" s="28"/>
      <c r="C272" s="4" t="s">
        <v>158</v>
      </c>
      <c r="D272" s="4"/>
      <c r="E272" s="4"/>
      <c r="G272" s="28"/>
      <c r="H272" s="4" t="s">
        <v>221</v>
      </c>
      <c r="I272" s="4"/>
      <c r="J272" s="28"/>
    </row>
    <row r="273" spans="2:10" x14ac:dyDescent="0.25">
      <c r="B273" s="26" t="str">
        <f>J266</f>
        <v>1)</v>
      </c>
      <c r="C273" s="1">
        <f>I266-C266</f>
        <v>1150</v>
      </c>
      <c r="D273" s="5"/>
      <c r="G273" s="26"/>
      <c r="I273" s="5">
        <v>6500</v>
      </c>
      <c r="J273" s="26" t="s">
        <v>7</v>
      </c>
    </row>
    <row r="274" spans="2:10" x14ac:dyDescent="0.25">
      <c r="B274" s="26" t="str">
        <f>B267</f>
        <v>6)</v>
      </c>
      <c r="C274" s="1">
        <f>I267-C267</f>
        <v>1380</v>
      </c>
      <c r="D274" s="6"/>
      <c r="G274" s="26"/>
      <c r="I274" s="6"/>
    </row>
    <row r="275" spans="2:10" x14ac:dyDescent="0.25">
      <c r="D275" s="6"/>
      <c r="G275" s="26"/>
      <c r="I275" s="6"/>
    </row>
    <row r="276" spans="2:10" x14ac:dyDescent="0.25">
      <c r="D276" s="6"/>
      <c r="G276" s="26"/>
      <c r="I276" s="6"/>
    </row>
    <row r="277" spans="2:10" x14ac:dyDescent="0.25">
      <c r="D277" s="6"/>
      <c r="G277" s="26"/>
      <c r="I277" s="6"/>
    </row>
    <row r="279" spans="2:10" x14ac:dyDescent="0.25">
      <c r="B279" s="28"/>
      <c r="C279" s="4" t="s">
        <v>26</v>
      </c>
      <c r="D279" s="4"/>
      <c r="E279" s="4"/>
      <c r="G279" s="28"/>
      <c r="H279" s="4" t="s">
        <v>161</v>
      </c>
      <c r="I279" s="4"/>
      <c r="J279" s="28"/>
    </row>
    <row r="280" spans="2:10" x14ac:dyDescent="0.25">
      <c r="B280" s="26" t="str">
        <f>J273</f>
        <v>2)</v>
      </c>
      <c r="C280" s="1">
        <f>I273-H266</f>
        <v>350</v>
      </c>
      <c r="D280" s="5"/>
      <c r="G280" s="26" t="s">
        <v>9</v>
      </c>
      <c r="H280" s="1">
        <f>7000*1.23</f>
        <v>8610</v>
      </c>
      <c r="I280" s="5">
        <f>H280</f>
        <v>8610</v>
      </c>
      <c r="J280" s="26" t="str">
        <f>B295</f>
        <v>5)</v>
      </c>
    </row>
    <row r="281" spans="2:10" x14ac:dyDescent="0.25">
      <c r="C281" s="1" t="s">
        <v>222</v>
      </c>
      <c r="D281" s="6"/>
      <c r="G281" s="26"/>
      <c r="I281" s="6"/>
    </row>
    <row r="282" spans="2:10" x14ac:dyDescent="0.25">
      <c r="B282" s="26" t="str">
        <f>E295</f>
        <v>7)</v>
      </c>
      <c r="C282" s="1">
        <f>D295-H267</f>
        <v>1620</v>
      </c>
      <c r="D282" s="6"/>
      <c r="G282" s="26"/>
      <c r="I282" s="6"/>
    </row>
    <row r="283" spans="2:10" x14ac:dyDescent="0.25">
      <c r="D283" s="6"/>
      <c r="G283" s="26"/>
      <c r="I283" s="6"/>
    </row>
    <row r="284" spans="2:10" x14ac:dyDescent="0.25">
      <c r="D284" s="6"/>
      <c r="G284" s="26"/>
      <c r="I284" s="6"/>
    </row>
    <row r="286" spans="2:10" x14ac:dyDescent="0.25">
      <c r="B286" s="28"/>
      <c r="C286" s="4" t="s">
        <v>223</v>
      </c>
      <c r="D286" s="4"/>
      <c r="E286" s="4"/>
      <c r="G286" s="28"/>
      <c r="H286" s="4" t="s">
        <v>142</v>
      </c>
      <c r="I286" s="4"/>
      <c r="J286" s="28"/>
    </row>
    <row r="287" spans="2:10" x14ac:dyDescent="0.25">
      <c r="D287" s="5">
        <v>7000</v>
      </c>
      <c r="E287" s="1" t="str">
        <f>G280</f>
        <v>3)</v>
      </c>
      <c r="G287" s="26" t="s">
        <v>28</v>
      </c>
      <c r="H287" s="1">
        <v>5000</v>
      </c>
      <c r="I287" s="5"/>
    </row>
    <row r="288" spans="2:10" x14ac:dyDescent="0.25">
      <c r="D288" s="6"/>
      <c r="G288" s="26"/>
      <c r="I288" s="6"/>
    </row>
    <row r="289" spans="2:10" x14ac:dyDescent="0.25">
      <c r="D289" s="6"/>
      <c r="G289" s="26"/>
      <c r="I289" s="6"/>
    </row>
    <row r="290" spans="2:10" x14ac:dyDescent="0.25">
      <c r="D290" s="6"/>
      <c r="G290" s="26"/>
      <c r="I290" s="6"/>
    </row>
    <row r="291" spans="2:10" x14ac:dyDescent="0.25">
      <c r="D291" s="6"/>
      <c r="G291" s="26"/>
      <c r="I291" s="6"/>
    </row>
    <row r="294" spans="2:10" x14ac:dyDescent="0.25">
      <c r="B294" s="28"/>
      <c r="C294" s="4" t="s">
        <v>224</v>
      </c>
      <c r="D294" s="4"/>
      <c r="E294" s="4"/>
      <c r="G294" s="28"/>
      <c r="H294" s="4" t="s">
        <v>217</v>
      </c>
      <c r="I294" s="4"/>
      <c r="J294" s="28"/>
    </row>
    <row r="295" spans="2:10" x14ac:dyDescent="0.25">
      <c r="B295" s="26" t="s">
        <v>98</v>
      </c>
      <c r="C295" s="1">
        <v>9000</v>
      </c>
      <c r="D295" s="5">
        <f>C295</f>
        <v>9000</v>
      </c>
      <c r="E295" s="1" t="str">
        <f>G267</f>
        <v>7)</v>
      </c>
      <c r="G295" s="26"/>
      <c r="I295" s="5">
        <f>C295-I280</f>
        <v>390</v>
      </c>
      <c r="J295" s="26" t="str">
        <f>B295</f>
        <v>5)</v>
      </c>
    </row>
    <row r="296" spans="2:10" x14ac:dyDescent="0.25">
      <c r="D296" s="6"/>
      <c r="G296" s="26"/>
      <c r="I296" s="6"/>
    </row>
    <row r="297" spans="2:10" x14ac:dyDescent="0.25">
      <c r="D297" s="6"/>
      <c r="G297" s="26"/>
      <c r="I297" s="6"/>
    </row>
    <row r="298" spans="2:10" x14ac:dyDescent="0.25">
      <c r="D298" s="6"/>
      <c r="G298" s="26"/>
      <c r="I298" s="6"/>
    </row>
    <row r="299" spans="2:10" x14ac:dyDescent="0.25">
      <c r="D299" s="6"/>
      <c r="G299" s="26"/>
      <c r="I299" s="6"/>
    </row>
    <row r="300" spans="2:10" x14ac:dyDescent="0.25">
      <c r="C300" s="1" t="s">
        <v>226</v>
      </c>
    </row>
    <row r="301" spans="2:10" x14ac:dyDescent="0.25">
      <c r="B301" s="28"/>
      <c r="C301" s="72" t="s">
        <v>225</v>
      </c>
      <c r="D301" s="4"/>
      <c r="E301" s="4"/>
      <c r="G301" s="28"/>
      <c r="H301" s="4" t="s">
        <v>141</v>
      </c>
      <c r="I301" s="4"/>
      <c r="J301" s="28"/>
    </row>
    <row r="302" spans="2:10" x14ac:dyDescent="0.25">
      <c r="D302" s="5">
        <f>D295</f>
        <v>9000</v>
      </c>
      <c r="E302" s="1" t="str">
        <f>E295</f>
        <v>7)</v>
      </c>
      <c r="G302" s="26"/>
      <c r="I302" s="5">
        <f>H280-D287</f>
        <v>1610</v>
      </c>
      <c r="J302" s="26" t="str">
        <f>E287</f>
        <v>3)</v>
      </c>
    </row>
    <row r="303" spans="2:10" x14ac:dyDescent="0.25">
      <c r="D303" s="6"/>
      <c r="G303" s="26"/>
      <c r="I303" s="6"/>
    </row>
    <row r="304" spans="2:10" x14ac:dyDescent="0.25">
      <c r="D304" s="6"/>
      <c r="G304" s="26"/>
      <c r="I304" s="6"/>
    </row>
    <row r="305" spans="2:9" x14ac:dyDescent="0.25">
      <c r="B305" s="27" t="s">
        <v>236</v>
      </c>
      <c r="C305" s="2"/>
      <c r="D305" s="37"/>
      <c r="G305" s="26"/>
      <c r="I305" s="6"/>
    </row>
    <row r="306" spans="2:9" x14ac:dyDescent="0.25">
      <c r="D306" s="6"/>
      <c r="G306" s="26"/>
      <c r="I306" s="6"/>
    </row>
    <row r="307" spans="2:9" x14ac:dyDescent="0.25">
      <c r="C307" s="1" t="s">
        <v>237</v>
      </c>
      <c r="D307" s="1" t="s">
        <v>238</v>
      </c>
      <c r="F307" s="1" t="s">
        <v>239</v>
      </c>
      <c r="H307" s="1" t="s">
        <v>240</v>
      </c>
    </row>
    <row r="308" spans="2:9" x14ac:dyDescent="0.25">
      <c r="C308" s="1" t="s">
        <v>241</v>
      </c>
      <c r="D308" s="1" t="s">
        <v>242</v>
      </c>
      <c r="F308" s="1" t="s">
        <v>243</v>
      </c>
      <c r="H308" s="1" t="s">
        <v>244</v>
      </c>
    </row>
    <row r="309" spans="2:9" x14ac:dyDescent="0.25">
      <c r="B309" s="26" t="s">
        <v>245</v>
      </c>
      <c r="C309" s="1">
        <f>H351</f>
        <v>108.16901408450704</v>
      </c>
      <c r="D309" s="1">
        <v>110</v>
      </c>
      <c r="F309" s="1">
        <v>150</v>
      </c>
      <c r="H309" s="1">
        <v>200</v>
      </c>
    </row>
    <row r="310" spans="2:9" x14ac:dyDescent="0.25">
      <c r="B310" s="26" t="s">
        <v>246</v>
      </c>
      <c r="C310" s="1">
        <f>D309*0.23</f>
        <v>25.3</v>
      </c>
      <c r="D310" s="1">
        <f>F309*0.23</f>
        <v>34.5</v>
      </c>
      <c r="F310" s="1">
        <f>H309*0.23</f>
        <v>46</v>
      </c>
      <c r="H310" s="1" t="s">
        <v>251</v>
      </c>
    </row>
    <row r="311" spans="2:9" x14ac:dyDescent="0.25">
      <c r="C311" s="1">
        <f>D309+C310</f>
        <v>135.30000000000001</v>
      </c>
      <c r="D311" s="1">
        <f>F309+D310</f>
        <v>184.5</v>
      </c>
      <c r="F311" s="1">
        <f>H309+F310</f>
        <v>246</v>
      </c>
      <c r="H311" s="1" t="s">
        <v>252</v>
      </c>
    </row>
    <row r="312" spans="2:9" x14ac:dyDescent="0.25">
      <c r="B312" s="26" t="s">
        <v>250</v>
      </c>
      <c r="C312" s="1">
        <f>D309-C309</f>
        <v>1.8309859154929597</v>
      </c>
      <c r="D312" s="1">
        <f>F309-D309</f>
        <v>40</v>
      </c>
      <c r="F312" s="1">
        <f>H309-F309</f>
        <v>50</v>
      </c>
      <c r="H312" s="1">
        <v>0</v>
      </c>
    </row>
    <row r="313" spans="2:9" x14ac:dyDescent="0.25">
      <c r="F313" s="1" t="s">
        <v>247</v>
      </c>
    </row>
    <row r="314" spans="2:9" x14ac:dyDescent="0.25">
      <c r="F314" s="1" t="s">
        <v>248</v>
      </c>
    </row>
    <row r="315" spans="2:9" x14ac:dyDescent="0.25">
      <c r="F315" s="1" t="s">
        <v>249</v>
      </c>
    </row>
    <row r="316" spans="2:9" x14ac:dyDescent="0.25">
      <c r="D316" s="1">
        <f>D310-C310</f>
        <v>9.1999999999999993</v>
      </c>
      <c r="F316" s="1">
        <f>F310-D310</f>
        <v>11.5</v>
      </c>
    </row>
    <row r="317" spans="2:9" x14ac:dyDescent="0.25">
      <c r="C317" s="1" t="s">
        <v>245</v>
      </c>
      <c r="D317" s="1" t="s">
        <v>253</v>
      </c>
      <c r="F317" s="1" t="s">
        <v>246</v>
      </c>
    </row>
    <row r="318" spans="2:9" x14ac:dyDescent="0.25">
      <c r="C318" s="1">
        <v>50</v>
      </c>
      <c r="D318" s="1" t="s">
        <v>254</v>
      </c>
      <c r="F318" s="1">
        <f>C318*0.23</f>
        <v>11.5</v>
      </c>
    </row>
    <row r="319" spans="2:9" x14ac:dyDescent="0.25">
      <c r="C319" s="1">
        <v>20</v>
      </c>
      <c r="D319" s="1" t="s">
        <v>255</v>
      </c>
      <c r="F319" s="1">
        <f t="shared" ref="F319:F321" si="0">C319*0.23</f>
        <v>4.6000000000000005</v>
      </c>
    </row>
    <row r="320" spans="2:9" x14ac:dyDescent="0.25">
      <c r="C320" s="1">
        <v>20</v>
      </c>
      <c r="D320" s="1" t="s">
        <v>256</v>
      </c>
      <c r="F320" s="1">
        <f>C320/0.71</f>
        <v>28.169014084507044</v>
      </c>
      <c r="G320" s="1" t="s">
        <v>262</v>
      </c>
    </row>
    <row r="321" spans="2:10" x14ac:dyDescent="0.25">
      <c r="C321" s="1">
        <v>10</v>
      </c>
      <c r="D321" s="1" t="s">
        <v>257</v>
      </c>
      <c r="F321" s="1">
        <f t="shared" si="0"/>
        <v>2.3000000000000003</v>
      </c>
    </row>
    <row r="322" spans="2:10" x14ac:dyDescent="0.25">
      <c r="C322" s="1">
        <f>SUM(C318:C321)</f>
        <v>100</v>
      </c>
    </row>
    <row r="324" spans="2:10" x14ac:dyDescent="0.25">
      <c r="B324" s="28"/>
      <c r="C324" s="4" t="s">
        <v>258</v>
      </c>
      <c r="D324" s="4"/>
      <c r="E324" s="4"/>
      <c r="G324" s="28"/>
      <c r="H324" s="4" t="s">
        <v>158</v>
      </c>
      <c r="I324" s="4"/>
      <c r="J324" s="28"/>
    </row>
    <row r="325" spans="2:10" x14ac:dyDescent="0.25">
      <c r="B325" s="26" t="s">
        <v>2</v>
      </c>
      <c r="C325" s="1">
        <f>C318</f>
        <v>50</v>
      </c>
      <c r="D325" s="5"/>
      <c r="G325" s="26" t="s">
        <v>2</v>
      </c>
      <c r="H325" s="1">
        <f>F318</f>
        <v>11.5</v>
      </c>
      <c r="I325" s="5">
        <f>H325+H326+H327</f>
        <v>18.400000000000002</v>
      </c>
      <c r="J325" s="26" t="s">
        <v>214</v>
      </c>
    </row>
    <row r="326" spans="2:10" x14ac:dyDescent="0.25">
      <c r="B326" s="26" t="s">
        <v>7</v>
      </c>
      <c r="C326" s="1">
        <f>C319</f>
        <v>20</v>
      </c>
      <c r="D326" s="6"/>
      <c r="G326" s="26" t="str">
        <f>B326</f>
        <v>2)</v>
      </c>
      <c r="H326" s="1">
        <f>F319</f>
        <v>4.6000000000000005</v>
      </c>
      <c r="I326" s="6"/>
    </row>
    <row r="327" spans="2:10" x14ac:dyDescent="0.25">
      <c r="D327" s="6"/>
      <c r="G327" s="26" t="s">
        <v>28</v>
      </c>
      <c r="H327" s="1">
        <f>F321</f>
        <v>2.3000000000000003</v>
      </c>
      <c r="I327" s="6"/>
    </row>
    <row r="328" spans="2:10" x14ac:dyDescent="0.25">
      <c r="D328" s="6"/>
      <c r="G328" s="26"/>
      <c r="I328" s="6"/>
    </row>
    <row r="331" spans="2:10" x14ac:dyDescent="0.25">
      <c r="B331" s="28"/>
      <c r="C331" s="4" t="s">
        <v>104</v>
      </c>
      <c r="D331" s="4"/>
      <c r="E331" s="4"/>
      <c r="G331" s="28"/>
      <c r="H331" s="4" t="s">
        <v>259</v>
      </c>
      <c r="I331" s="4"/>
      <c r="J331" s="28"/>
    </row>
    <row r="332" spans="2:10" x14ac:dyDescent="0.25">
      <c r="D332" s="5">
        <f>C325*1.23</f>
        <v>61.5</v>
      </c>
      <c r="E332" s="1" t="s">
        <v>2</v>
      </c>
      <c r="G332" s="26" t="s">
        <v>9</v>
      </c>
      <c r="H332" s="1">
        <f>F320</f>
        <v>28.169014084507044</v>
      </c>
      <c r="I332" s="5"/>
    </row>
    <row r="333" spans="2:10" x14ac:dyDescent="0.25">
      <c r="D333" s="6">
        <f>C326+H326</f>
        <v>24.6</v>
      </c>
      <c r="E333" s="1" t="str">
        <f>G326</f>
        <v>2)</v>
      </c>
      <c r="G333" s="26"/>
      <c r="I333" s="6"/>
    </row>
    <row r="334" spans="2:10" x14ac:dyDescent="0.25">
      <c r="D334" s="6">
        <f>H327+C345</f>
        <v>12.3</v>
      </c>
      <c r="E334" s="1" t="str">
        <f>G327</f>
        <v>4)</v>
      </c>
      <c r="G334" s="26"/>
      <c r="I334" s="6"/>
    </row>
    <row r="335" spans="2:10" x14ac:dyDescent="0.25">
      <c r="D335" s="6"/>
      <c r="G335" s="26"/>
      <c r="I335" s="6"/>
    </row>
    <row r="338" spans="2:10" x14ac:dyDescent="0.25">
      <c r="B338" s="28"/>
      <c r="C338" s="4" t="s">
        <v>260</v>
      </c>
      <c r="D338" s="4"/>
      <c r="E338" s="4"/>
      <c r="G338" s="28"/>
      <c r="H338" s="4" t="s">
        <v>261</v>
      </c>
      <c r="I338" s="4"/>
      <c r="J338" s="28"/>
    </row>
    <row r="339" spans="2:10" x14ac:dyDescent="0.25">
      <c r="D339" s="5">
        <f>C320</f>
        <v>20</v>
      </c>
      <c r="E339" s="1" t="str">
        <f>G332</f>
        <v>3)</v>
      </c>
      <c r="G339" s="26"/>
      <c r="I339" s="5">
        <f>H332-D339</f>
        <v>8.1690140845070438</v>
      </c>
      <c r="J339" s="26" t="str">
        <f>G332</f>
        <v>3)</v>
      </c>
    </row>
    <row r="340" spans="2:10" x14ac:dyDescent="0.25">
      <c r="D340" s="6"/>
      <c r="G340" s="26"/>
      <c r="I340" s="6"/>
    </row>
    <row r="341" spans="2:10" x14ac:dyDescent="0.25">
      <c r="D341" s="6"/>
      <c r="G341" s="26"/>
      <c r="I341" s="6"/>
    </row>
    <row r="342" spans="2:10" x14ac:dyDescent="0.25">
      <c r="D342" s="6"/>
      <c r="G342" s="26"/>
      <c r="I342" s="6"/>
    </row>
    <row r="344" spans="2:10" x14ac:dyDescent="0.25">
      <c r="B344" s="28"/>
      <c r="C344" s="4" t="s">
        <v>263</v>
      </c>
      <c r="D344" s="4"/>
      <c r="E344" s="4"/>
      <c r="G344" s="28"/>
      <c r="H344" s="4" t="s">
        <v>264</v>
      </c>
      <c r="I344" s="4"/>
      <c r="J344" s="28"/>
    </row>
    <row r="345" spans="2:10" x14ac:dyDescent="0.25">
      <c r="B345" s="26" t="str">
        <f>G327</f>
        <v>4)</v>
      </c>
      <c r="C345" s="1">
        <f>C321</f>
        <v>10</v>
      </c>
      <c r="D345" s="5"/>
      <c r="G345" s="26"/>
      <c r="I345" s="5">
        <f>C325</f>
        <v>50</v>
      </c>
      <c r="J345" s="26" t="str">
        <f>E332</f>
        <v>1)</v>
      </c>
    </row>
    <row r="346" spans="2:10" x14ac:dyDescent="0.25">
      <c r="D346" s="6"/>
      <c r="G346" s="26"/>
      <c r="I346" s="6">
        <f>C326</f>
        <v>20</v>
      </c>
      <c r="J346" s="26" t="str">
        <f>E333</f>
        <v>2)</v>
      </c>
    </row>
    <row r="347" spans="2:10" x14ac:dyDescent="0.25">
      <c r="D347" s="6"/>
      <c r="G347" s="26"/>
      <c r="I347" s="6">
        <f>H332</f>
        <v>28.169014084507044</v>
      </c>
      <c r="J347" s="26" t="str">
        <f>G332</f>
        <v>3)</v>
      </c>
    </row>
    <row r="348" spans="2:10" x14ac:dyDescent="0.25">
      <c r="D348" s="6"/>
      <c r="G348" s="26"/>
      <c r="I348" s="6">
        <f>C345</f>
        <v>10</v>
      </c>
      <c r="J348" s="26" t="str">
        <f>B345</f>
        <v>4)</v>
      </c>
    </row>
    <row r="350" spans="2:10" x14ac:dyDescent="0.25">
      <c r="B350" s="28"/>
      <c r="C350" s="4" t="s">
        <v>265</v>
      </c>
      <c r="D350" s="4"/>
      <c r="E350" s="4"/>
      <c r="G350" s="28"/>
      <c r="H350" s="4" t="s">
        <v>266</v>
      </c>
      <c r="I350" s="4"/>
      <c r="J350" s="28"/>
    </row>
    <row r="351" spans="2:10" x14ac:dyDescent="0.25">
      <c r="B351" s="26" t="str">
        <f>J345</f>
        <v>1)</v>
      </c>
      <c r="C351" s="1">
        <f>I345</f>
        <v>50</v>
      </c>
      <c r="D351" s="5">
        <f>C351+C352+C353+C354</f>
        <v>108.16901408450704</v>
      </c>
      <c r="E351" s="1" t="s">
        <v>98</v>
      </c>
      <c r="G351" s="26" t="s">
        <v>98</v>
      </c>
      <c r="H351" s="1">
        <f>D351</f>
        <v>108.16901408450704</v>
      </c>
      <c r="I351" s="5">
        <f>H351</f>
        <v>108.16901408450704</v>
      </c>
      <c r="J351" s="26" t="s">
        <v>144</v>
      </c>
    </row>
    <row r="352" spans="2:10" x14ac:dyDescent="0.25">
      <c r="B352" s="26" t="str">
        <f>J346</f>
        <v>2)</v>
      </c>
      <c r="C352" s="1">
        <f>I346</f>
        <v>20</v>
      </c>
      <c r="D352" s="6"/>
      <c r="G352" s="26"/>
      <c r="I352" s="6"/>
    </row>
    <row r="353" spans="2:10" x14ac:dyDescent="0.25">
      <c r="B353" s="26" t="str">
        <f>J347</f>
        <v>3)</v>
      </c>
      <c r="C353" s="1">
        <f>I347</f>
        <v>28.169014084507044</v>
      </c>
      <c r="D353" s="6"/>
      <c r="G353" s="26"/>
      <c r="I353" s="6"/>
    </row>
    <row r="354" spans="2:10" x14ac:dyDescent="0.25">
      <c r="B354" s="26" t="str">
        <f>J348</f>
        <v>4)</v>
      </c>
      <c r="C354" s="1">
        <f>I348</f>
        <v>10</v>
      </c>
      <c r="D354" s="6"/>
      <c r="G354" s="26"/>
      <c r="I354" s="6"/>
    </row>
    <row r="357" spans="2:10" x14ac:dyDescent="0.25">
      <c r="B357" s="28"/>
      <c r="C357" s="4" t="s">
        <v>267</v>
      </c>
      <c r="D357" s="4"/>
      <c r="E357" s="4"/>
      <c r="G357" s="28"/>
      <c r="H357" s="4" t="s">
        <v>141</v>
      </c>
      <c r="I357" s="4"/>
      <c r="J357" s="28"/>
    </row>
    <row r="358" spans="2:10" x14ac:dyDescent="0.25">
      <c r="D358" s="5">
        <f>D309</f>
        <v>110</v>
      </c>
      <c r="E358" s="1" t="s">
        <v>113</v>
      </c>
      <c r="G358" s="26" t="s">
        <v>270</v>
      </c>
      <c r="H358" s="1">
        <f>I358</f>
        <v>25.3</v>
      </c>
      <c r="I358" s="5">
        <f>D358*0.23</f>
        <v>25.3</v>
      </c>
      <c r="J358" s="26" t="str">
        <f>E358</f>
        <v>6)</v>
      </c>
    </row>
    <row r="359" spans="2:10" x14ac:dyDescent="0.25">
      <c r="D359" s="6"/>
      <c r="G359" s="26"/>
      <c r="I359" s="6"/>
    </row>
    <row r="360" spans="2:10" x14ac:dyDescent="0.25">
      <c r="D360" s="6"/>
      <c r="G360" s="26"/>
      <c r="I360" s="6"/>
    </row>
    <row r="361" spans="2:10" x14ac:dyDescent="0.25">
      <c r="D361" s="6"/>
      <c r="G361" s="26"/>
      <c r="I361" s="6"/>
    </row>
    <row r="363" spans="2:10" x14ac:dyDescent="0.25">
      <c r="B363" s="28"/>
      <c r="C363" s="4" t="s">
        <v>139</v>
      </c>
      <c r="D363" s="4"/>
      <c r="E363" s="4"/>
      <c r="G363" s="28"/>
      <c r="H363" s="4" t="s">
        <v>268</v>
      </c>
      <c r="I363" s="4"/>
      <c r="J363" s="28"/>
    </row>
    <row r="364" spans="2:10" x14ac:dyDescent="0.25">
      <c r="B364" s="26" t="str">
        <f>E358</f>
        <v>6)</v>
      </c>
      <c r="C364" s="1">
        <f>D358+I358</f>
        <v>135.30000000000001</v>
      </c>
      <c r="D364" s="5"/>
      <c r="G364" s="26" t="str">
        <f>J351</f>
        <v>7)</v>
      </c>
      <c r="H364" s="1">
        <f>I351</f>
        <v>108.16901408450704</v>
      </c>
      <c r="I364" s="5"/>
    </row>
    <row r="365" spans="2:10" x14ac:dyDescent="0.25">
      <c r="D365" s="6"/>
      <c r="G365" s="26"/>
      <c r="I365" s="6"/>
    </row>
    <row r="366" spans="2:10" x14ac:dyDescent="0.25">
      <c r="D366" s="6"/>
      <c r="G366" s="26"/>
      <c r="I366" s="6"/>
    </row>
    <row r="367" spans="2:10" x14ac:dyDescent="0.25">
      <c r="D367" s="6"/>
      <c r="G367" s="26"/>
      <c r="I367" s="6"/>
    </row>
    <row r="369" spans="2:10" x14ac:dyDescent="0.25">
      <c r="B369" s="28"/>
      <c r="C369" s="4" t="s">
        <v>269</v>
      </c>
      <c r="D369" s="4"/>
      <c r="E369" s="4"/>
      <c r="G369" s="28"/>
      <c r="H369" s="4"/>
      <c r="I369" s="4"/>
      <c r="J369" s="28"/>
    </row>
    <row r="370" spans="2:10" x14ac:dyDescent="0.25">
      <c r="B370" s="29" t="s">
        <v>214</v>
      </c>
      <c r="C370" s="7">
        <f>I325</f>
        <v>18.400000000000002</v>
      </c>
      <c r="D370" s="8">
        <f>H358</f>
        <v>25.3</v>
      </c>
      <c r="E370" s="7" t="s">
        <v>270</v>
      </c>
      <c r="G370" s="26"/>
      <c r="I370" s="5"/>
    </row>
    <row r="371" spans="2:10" x14ac:dyDescent="0.25">
      <c r="C371" s="1">
        <f>C370</f>
        <v>18.400000000000002</v>
      </c>
      <c r="D371" s="6">
        <f>D370</f>
        <v>25.3</v>
      </c>
      <c r="G371" s="26"/>
      <c r="I371" s="6"/>
    </row>
    <row r="372" spans="2:10" x14ac:dyDescent="0.25">
      <c r="B372" s="26" t="s">
        <v>31</v>
      </c>
      <c r="C372" s="1">
        <f>D371-C371</f>
        <v>6.8999999999999986</v>
      </c>
      <c r="D372" s="6"/>
      <c r="G372" s="26"/>
      <c r="I372" s="6"/>
    </row>
    <row r="373" spans="2:10" x14ac:dyDescent="0.25">
      <c r="D373" s="6"/>
      <c r="G373" s="26"/>
      <c r="I373" s="6"/>
    </row>
    <row r="374" spans="2:10" x14ac:dyDescent="0.25">
      <c r="B374" s="27" t="s">
        <v>289</v>
      </c>
      <c r="C374" s="2"/>
      <c r="D374" s="37"/>
    </row>
    <row r="375" spans="2:10" ht="15.75" thickBot="1" x14ac:dyDescent="0.3">
      <c r="C375" s="26"/>
      <c r="E375" s="1">
        <f>E376+E383</f>
        <v>6024</v>
      </c>
      <c r="F375" s="114" t="s">
        <v>355</v>
      </c>
    </row>
    <row r="376" spans="2:10" ht="30.75" thickBot="1" x14ac:dyDescent="0.3">
      <c r="C376" s="102" t="s">
        <v>317</v>
      </c>
      <c r="D376" s="102"/>
      <c r="E376" s="107">
        <v>5000</v>
      </c>
    </row>
    <row r="377" spans="2:10" ht="30.75" thickBot="1" x14ac:dyDescent="0.3">
      <c r="C377" s="102" t="s">
        <v>318</v>
      </c>
      <c r="D377" s="102"/>
      <c r="E377" s="107"/>
    </row>
    <row r="378" spans="2:10" ht="30.75" thickBot="1" x14ac:dyDescent="0.3">
      <c r="C378" s="102" t="s">
        <v>319</v>
      </c>
      <c r="D378" s="103">
        <v>9.7600000000000006E-2</v>
      </c>
      <c r="E378" s="107">
        <f>$E$376*D378</f>
        <v>488.00000000000006</v>
      </c>
    </row>
    <row r="379" spans="2:10" ht="30.75" thickBot="1" x14ac:dyDescent="0.3">
      <c r="C379" s="102" t="s">
        <v>320</v>
      </c>
      <c r="D379" s="103">
        <v>6.5000000000000002E-2</v>
      </c>
      <c r="E379" s="107">
        <f t="shared" ref="E379:E380" si="1">$E$376*D379</f>
        <v>325</v>
      </c>
    </row>
    <row r="380" spans="2:10" ht="30.75" thickBot="1" x14ac:dyDescent="0.3">
      <c r="C380" s="102" t="s">
        <v>321</v>
      </c>
      <c r="D380" s="103">
        <v>1.67E-2</v>
      </c>
      <c r="E380" s="107">
        <f t="shared" si="1"/>
        <v>83.5</v>
      </c>
    </row>
    <row r="381" spans="2:10" ht="15.75" thickBot="1" x14ac:dyDescent="0.3">
      <c r="C381" s="102" t="s">
        <v>322</v>
      </c>
      <c r="D381" s="103">
        <v>2.4500000000000001E-2</v>
      </c>
      <c r="E381" s="107">
        <f>$E$376*D381</f>
        <v>122.5</v>
      </c>
    </row>
    <row r="382" spans="2:10" ht="60.75" thickBot="1" x14ac:dyDescent="0.3">
      <c r="C382" s="102" t="s">
        <v>323</v>
      </c>
      <c r="D382" s="103">
        <v>1E-3</v>
      </c>
      <c r="E382" s="107">
        <f>$E$376*D382</f>
        <v>5</v>
      </c>
    </row>
    <row r="383" spans="2:10" ht="45.75" thickBot="1" x14ac:dyDescent="0.3">
      <c r="C383" s="102" t="s">
        <v>324</v>
      </c>
      <c r="D383" s="102"/>
      <c r="E383" s="109">
        <f>SUM(E378:E382)</f>
        <v>1024</v>
      </c>
      <c r="F383" s="20">
        <f>E383/E376</f>
        <v>0.20480000000000001</v>
      </c>
    </row>
    <row r="384" spans="2:10" ht="30.75" thickBot="1" x14ac:dyDescent="0.3">
      <c r="C384" s="102" t="s">
        <v>325</v>
      </c>
      <c r="D384" s="102"/>
      <c r="E384" s="107"/>
    </row>
    <row r="385" spans="2:6" ht="30.75" thickBot="1" x14ac:dyDescent="0.3">
      <c r="C385" s="102" t="s">
        <v>319</v>
      </c>
      <c r="D385" s="103">
        <v>9.7600000000000006E-2</v>
      </c>
      <c r="E385" s="107">
        <f>$E$376*D385</f>
        <v>488.00000000000006</v>
      </c>
    </row>
    <row r="386" spans="2:6" ht="30.75" thickBot="1" x14ac:dyDescent="0.3">
      <c r="C386" s="102" t="s">
        <v>320</v>
      </c>
      <c r="D386" s="103">
        <v>1.4999999999999999E-2</v>
      </c>
      <c r="E386" s="107">
        <f t="shared" ref="E386:E387" si="2">$E$376*D386</f>
        <v>75</v>
      </c>
    </row>
    <row r="387" spans="2:6" ht="30.75" thickBot="1" x14ac:dyDescent="0.3">
      <c r="C387" s="102" t="s">
        <v>326</v>
      </c>
      <c r="D387" s="103">
        <v>2.4500000000000001E-2</v>
      </c>
      <c r="E387" s="107">
        <f t="shared" si="2"/>
        <v>122.5</v>
      </c>
    </row>
    <row r="388" spans="2:6" ht="45.75" thickBot="1" x14ac:dyDescent="0.3">
      <c r="C388" s="102" t="s">
        <v>327</v>
      </c>
      <c r="D388" s="102"/>
      <c r="E388" s="109">
        <f>SUM(E385:E387)</f>
        <v>685.5</v>
      </c>
      <c r="F388" s="113">
        <f>E388/E376</f>
        <v>0.1371</v>
      </c>
    </row>
    <row r="389" spans="2:6" ht="75.75" thickBot="1" x14ac:dyDescent="0.3">
      <c r="C389" s="102" t="s">
        <v>354</v>
      </c>
      <c r="D389" s="104"/>
      <c r="E389" s="107">
        <f>E376-E388</f>
        <v>4314.5</v>
      </c>
    </row>
    <row r="390" spans="2:6" ht="30.75" thickBot="1" x14ac:dyDescent="0.3">
      <c r="C390" s="102" t="s">
        <v>328</v>
      </c>
      <c r="D390" s="104"/>
      <c r="E390" s="110">
        <v>300</v>
      </c>
      <c r="F390" s="1" t="s">
        <v>353</v>
      </c>
    </row>
    <row r="391" spans="2:6" ht="45.75" thickBot="1" x14ac:dyDescent="0.3">
      <c r="C391" s="102" t="s">
        <v>329</v>
      </c>
      <c r="D391" s="104"/>
      <c r="E391" s="101">
        <f>E389-E390</f>
        <v>4014.5</v>
      </c>
    </row>
    <row r="392" spans="2:6" ht="30.75" thickBot="1" x14ac:dyDescent="0.3">
      <c r="C392" s="102" t="s">
        <v>332</v>
      </c>
      <c r="D392" s="111">
        <v>0.12</v>
      </c>
      <c r="E392" s="109">
        <f>ROUND(E391*D392-E393,0)</f>
        <v>182</v>
      </c>
    </row>
    <row r="393" spans="2:6" ht="90.75" thickBot="1" x14ac:dyDescent="0.3">
      <c r="C393" s="102" t="s">
        <v>333</v>
      </c>
      <c r="D393" s="105"/>
      <c r="E393" s="108">
        <v>300</v>
      </c>
    </row>
    <row r="394" spans="2:6" ht="60.75" thickBot="1" x14ac:dyDescent="0.3">
      <c r="C394" s="102" t="s">
        <v>330</v>
      </c>
      <c r="D394" s="112">
        <v>0.09</v>
      </c>
      <c r="E394" s="109">
        <f>D394*E389</f>
        <v>388.30500000000001</v>
      </c>
    </row>
    <row r="395" spans="2:6" ht="15.75" thickBot="1" x14ac:dyDescent="0.3">
      <c r="C395" s="102" t="s">
        <v>331</v>
      </c>
      <c r="D395" s="106"/>
      <c r="E395" s="108">
        <f>E376-E388-E392-E394</f>
        <v>3744.1950000000002</v>
      </c>
      <c r="F395" s="20">
        <f>E395/E376</f>
        <v>0.74883900000000003</v>
      </c>
    </row>
    <row r="397" spans="2:6" x14ac:dyDescent="0.25">
      <c r="B397" s="26">
        <v>1</v>
      </c>
      <c r="C397" s="1" t="s">
        <v>334</v>
      </c>
    </row>
    <row r="398" spans="2:6" x14ac:dyDescent="0.25">
      <c r="B398" s="26">
        <v>2</v>
      </c>
      <c r="C398" s="1" t="s">
        <v>335</v>
      </c>
    </row>
    <row r="399" spans="2:6" x14ac:dyDescent="0.25">
      <c r="B399" s="26">
        <v>3</v>
      </c>
      <c r="C399" s="1" t="s">
        <v>336</v>
      </c>
    </row>
    <row r="400" spans="2:6" x14ac:dyDescent="0.25">
      <c r="B400" s="26" t="s">
        <v>310</v>
      </c>
      <c r="C400" s="1" t="s">
        <v>337</v>
      </c>
    </row>
    <row r="401" spans="2:10" x14ac:dyDescent="0.25">
      <c r="B401" s="26" t="s">
        <v>342</v>
      </c>
      <c r="C401" s="1" t="s">
        <v>338</v>
      </c>
    </row>
    <row r="402" spans="2:10" x14ac:dyDescent="0.25">
      <c r="B402" s="26" t="s">
        <v>343</v>
      </c>
      <c r="C402" s="1" t="s">
        <v>339</v>
      </c>
    </row>
    <row r="403" spans="2:10" x14ac:dyDescent="0.25">
      <c r="I403" s="20">
        <f>H409/I405</f>
        <v>0.74883899999999992</v>
      </c>
    </row>
    <row r="404" spans="2:10" x14ac:dyDescent="0.25">
      <c r="B404" s="28"/>
      <c r="C404" s="4" t="s">
        <v>287</v>
      </c>
      <c r="D404" s="4"/>
      <c r="E404" s="4"/>
      <c r="G404" s="28"/>
      <c r="H404" s="4" t="s">
        <v>289</v>
      </c>
      <c r="I404" s="4"/>
      <c r="J404" s="28"/>
    </row>
    <row r="405" spans="2:10" x14ac:dyDescent="0.25">
      <c r="B405" s="26">
        <f>J405</f>
        <v>1</v>
      </c>
      <c r="C405" s="1">
        <f>I405</f>
        <v>5000</v>
      </c>
      <c r="D405" s="5"/>
      <c r="F405" s="1" t="s">
        <v>345</v>
      </c>
      <c r="G405" s="26" t="str">
        <f>B400</f>
        <v>3a</v>
      </c>
      <c r="H405" s="1">
        <f>E388</f>
        <v>685.5</v>
      </c>
      <c r="I405" s="5">
        <f>E376</f>
        <v>5000</v>
      </c>
      <c r="J405" s="26">
        <f>B397</f>
        <v>1</v>
      </c>
    </row>
    <row r="406" spans="2:10" x14ac:dyDescent="0.25">
      <c r="D406" s="6"/>
      <c r="F406" s="1" t="s">
        <v>346</v>
      </c>
      <c r="G406" s="26" t="str">
        <f>B401</f>
        <v>3b</v>
      </c>
      <c r="H406" s="1">
        <f>E394</f>
        <v>388.30500000000001</v>
      </c>
      <c r="I406" s="6"/>
    </row>
    <row r="407" spans="2:10" x14ac:dyDescent="0.25">
      <c r="D407" s="6"/>
      <c r="F407" s="1" t="s">
        <v>347</v>
      </c>
      <c r="G407" s="28" t="str">
        <f>B402</f>
        <v>3c</v>
      </c>
      <c r="H407" s="4">
        <f>E392</f>
        <v>182</v>
      </c>
      <c r="I407" s="9"/>
      <c r="J407" s="28"/>
    </row>
    <row r="408" spans="2:10" x14ac:dyDescent="0.25">
      <c r="D408" s="6"/>
      <c r="G408" s="26"/>
      <c r="H408" s="1">
        <f>SUM(H405:H407)</f>
        <v>1255.8050000000001</v>
      </c>
      <c r="I408" s="6">
        <f>I405</f>
        <v>5000</v>
      </c>
    </row>
    <row r="409" spans="2:10" x14ac:dyDescent="0.25">
      <c r="G409" s="1" t="s">
        <v>10</v>
      </c>
      <c r="H409" s="1">
        <f>I408-H408</f>
        <v>3744.1949999999997</v>
      </c>
    </row>
    <row r="411" spans="2:10" x14ac:dyDescent="0.25">
      <c r="B411" s="28"/>
      <c r="C411" s="4" t="s">
        <v>340</v>
      </c>
      <c r="D411" s="4"/>
      <c r="E411" s="4"/>
      <c r="G411" s="28"/>
      <c r="H411" s="4" t="s">
        <v>341</v>
      </c>
      <c r="I411" s="4"/>
      <c r="J411" s="28"/>
    </row>
    <row r="412" spans="2:10" x14ac:dyDescent="0.25">
      <c r="B412" s="26">
        <f>J412</f>
        <v>2</v>
      </c>
      <c r="C412" s="1">
        <f>I412</f>
        <v>1024</v>
      </c>
      <c r="D412" s="5"/>
      <c r="G412" s="26"/>
      <c r="I412" s="5">
        <f>E383</f>
        <v>1024</v>
      </c>
      <c r="J412" s="26">
        <f>B398</f>
        <v>2</v>
      </c>
    </row>
    <row r="413" spans="2:10" x14ac:dyDescent="0.25">
      <c r="D413" s="6"/>
      <c r="G413" s="26"/>
      <c r="I413" s="6">
        <f>H405</f>
        <v>685.5</v>
      </c>
      <c r="J413" s="26" t="str">
        <f>G405</f>
        <v>3a</v>
      </c>
    </row>
    <row r="414" spans="2:10" x14ac:dyDescent="0.25">
      <c r="D414" s="6"/>
      <c r="G414" s="26"/>
      <c r="I414" s="6">
        <f>H406</f>
        <v>388.30500000000001</v>
      </c>
      <c r="J414" s="26" t="str">
        <f>G406</f>
        <v>3b</v>
      </c>
    </row>
    <row r="415" spans="2:10" x14ac:dyDescent="0.25">
      <c r="D415" s="6"/>
      <c r="G415" s="26"/>
      <c r="I415" s="6"/>
    </row>
    <row r="417" spans="2:10" x14ac:dyDescent="0.25">
      <c r="B417" s="28"/>
      <c r="C417" s="4" t="s">
        <v>344</v>
      </c>
      <c r="D417" s="4"/>
      <c r="E417" s="4"/>
      <c r="G417" s="28"/>
      <c r="H417" s="4"/>
      <c r="I417" s="4"/>
      <c r="J417" s="28"/>
    </row>
    <row r="418" spans="2:10" x14ac:dyDescent="0.25">
      <c r="D418" s="5">
        <f>H407</f>
        <v>182</v>
      </c>
      <c r="E418" s="1" t="str">
        <f>G407</f>
        <v>3c</v>
      </c>
      <c r="G418" s="26"/>
      <c r="I418" s="5"/>
    </row>
    <row r="419" spans="2:10" x14ac:dyDescent="0.25">
      <c r="D419" s="6"/>
      <c r="G419" s="26"/>
      <c r="I419" s="6"/>
    </row>
    <row r="420" spans="2:10" x14ac:dyDescent="0.25">
      <c r="D420" s="6"/>
      <c r="G420" s="26"/>
      <c r="I420" s="6"/>
    </row>
    <row r="421" spans="2:10" x14ac:dyDescent="0.25">
      <c r="D421" s="6"/>
      <c r="G421" s="26"/>
      <c r="I421" s="6"/>
    </row>
    <row r="423" spans="2:10" x14ac:dyDescent="0.25">
      <c r="B423" s="26" t="s">
        <v>361</v>
      </c>
    </row>
    <row r="424" spans="2:10" x14ac:dyDescent="0.25">
      <c r="B424" s="26">
        <v>1</v>
      </c>
      <c r="C424" s="1" t="s">
        <v>348</v>
      </c>
    </row>
    <row r="425" spans="2:10" x14ac:dyDescent="0.25">
      <c r="B425" s="26">
        <v>2</v>
      </c>
      <c r="C425" s="1" t="s">
        <v>349</v>
      </c>
    </row>
    <row r="426" spans="2:10" x14ac:dyDescent="0.25">
      <c r="C426" s="1" t="s">
        <v>350</v>
      </c>
    </row>
    <row r="427" spans="2:10" x14ac:dyDescent="0.25">
      <c r="C427" s="1" t="s">
        <v>351</v>
      </c>
    </row>
    <row r="428" spans="2:10" x14ac:dyDescent="0.25">
      <c r="B428" s="26">
        <v>3</v>
      </c>
      <c r="C428" s="1" t="s">
        <v>352</v>
      </c>
    </row>
    <row r="430" spans="2:10" x14ac:dyDescent="0.25">
      <c r="B430" s="27" t="s">
        <v>371</v>
      </c>
      <c r="C430" s="2"/>
      <c r="D430" s="2"/>
    </row>
    <row r="432" spans="2:10" x14ac:dyDescent="0.25">
      <c r="C432" s="1" t="s">
        <v>372</v>
      </c>
      <c r="H432" s="1">
        <v>500000</v>
      </c>
    </row>
    <row r="433" spans="2:10" x14ac:dyDescent="0.25">
      <c r="C433" s="1" t="s">
        <v>375</v>
      </c>
    </row>
    <row r="434" spans="2:10" x14ac:dyDescent="0.25">
      <c r="C434" s="1" t="s">
        <v>373</v>
      </c>
      <c r="H434" s="1">
        <f>H432</f>
        <v>500000</v>
      </c>
    </row>
    <row r="435" spans="2:10" x14ac:dyDescent="0.25">
      <c r="C435" s="1" t="s">
        <v>374</v>
      </c>
    </row>
    <row r="436" spans="2:10" x14ac:dyDescent="0.25">
      <c r="C436" s="1" t="s">
        <v>377</v>
      </c>
    </row>
    <row r="438" spans="2:10" x14ac:dyDescent="0.25">
      <c r="B438" s="28"/>
      <c r="C438" s="4" t="s">
        <v>6</v>
      </c>
      <c r="D438" s="4"/>
      <c r="E438" s="4"/>
      <c r="G438" s="119"/>
      <c r="H438" s="119" t="s">
        <v>376</v>
      </c>
      <c r="I438" s="119"/>
      <c r="J438" s="120"/>
    </row>
    <row r="439" spans="2:10" x14ac:dyDescent="0.25">
      <c r="B439" s="26" t="s">
        <v>2</v>
      </c>
      <c r="C439" s="1">
        <f>H432</f>
        <v>500000</v>
      </c>
      <c r="D439" s="5">
        <f>C447</f>
        <v>500000</v>
      </c>
      <c r="E439" s="1" t="str">
        <f>B447</f>
        <v>2)</v>
      </c>
      <c r="G439" s="35" t="s">
        <v>292</v>
      </c>
      <c r="H439" s="35">
        <f>H447</f>
        <v>8333.3333333333339</v>
      </c>
      <c r="I439" s="121">
        <f>C439</f>
        <v>500000</v>
      </c>
      <c r="J439" s="51" t="str">
        <f>B439</f>
        <v>1)</v>
      </c>
    </row>
    <row r="440" spans="2:10" x14ac:dyDescent="0.25">
      <c r="D440" s="6"/>
      <c r="H440" s="1" t="s">
        <v>379</v>
      </c>
      <c r="I440" s="6"/>
    </row>
    <row r="441" spans="2:10" x14ac:dyDescent="0.25">
      <c r="D441" s="6"/>
      <c r="H441" s="1" t="s">
        <v>380</v>
      </c>
      <c r="I441" s="6"/>
    </row>
    <row r="442" spans="2:10" x14ac:dyDescent="0.25">
      <c r="D442" s="6"/>
      <c r="I442" s="6"/>
    </row>
    <row r="443" spans="2:10" x14ac:dyDescent="0.25">
      <c r="D443" s="6"/>
      <c r="I443" s="6"/>
    </row>
    <row r="446" spans="2:10" x14ac:dyDescent="0.25">
      <c r="B446" s="28"/>
      <c r="C446" s="4" t="s">
        <v>99</v>
      </c>
      <c r="D446" s="4"/>
      <c r="E446" s="4"/>
      <c r="G446" s="4"/>
      <c r="H446" s="4" t="s">
        <v>111</v>
      </c>
      <c r="I446" s="4"/>
      <c r="J446" s="28"/>
    </row>
    <row r="447" spans="2:10" x14ac:dyDescent="0.25">
      <c r="B447" s="26" t="s">
        <v>7</v>
      </c>
      <c r="C447" s="1">
        <f>H434</f>
        <v>500000</v>
      </c>
      <c r="D447" s="5"/>
      <c r="G447" s="2" t="s">
        <v>9</v>
      </c>
      <c r="H447" s="2">
        <f>H434*0.2/12</f>
        <v>8333.3333333333339</v>
      </c>
      <c r="I447" s="5"/>
    </row>
    <row r="448" spans="2:10" x14ac:dyDescent="0.25">
      <c r="D448" s="6"/>
      <c r="I448" s="6"/>
    </row>
    <row r="449" spans="2:10" x14ac:dyDescent="0.25">
      <c r="D449" s="6"/>
      <c r="I449" s="6"/>
    </row>
    <row r="450" spans="2:10" x14ac:dyDescent="0.25">
      <c r="D450" s="6"/>
      <c r="I450" s="6"/>
    </row>
    <row r="451" spans="2:10" x14ac:dyDescent="0.25">
      <c r="D451" s="6"/>
      <c r="I451" s="6"/>
    </row>
    <row r="454" spans="2:10" x14ac:dyDescent="0.25">
      <c r="B454" s="28"/>
      <c r="C454" s="4" t="s">
        <v>112</v>
      </c>
      <c r="D454" s="4"/>
      <c r="E454" s="4"/>
      <c r="G454" s="4"/>
      <c r="H454" s="4" t="s">
        <v>378</v>
      </c>
      <c r="I454" s="4"/>
      <c r="J454" s="28"/>
    </row>
    <row r="455" spans="2:10" x14ac:dyDescent="0.25">
      <c r="D455" s="5">
        <f>H447</f>
        <v>8333.3333333333339</v>
      </c>
      <c r="E455" s="1" t="str">
        <f>G447</f>
        <v>3)</v>
      </c>
      <c r="I455" s="122">
        <f>H439</f>
        <v>8333.3333333333339</v>
      </c>
      <c r="J455" s="71" t="str">
        <f>G439</f>
        <v>3a)</v>
      </c>
    </row>
    <row r="456" spans="2:10" x14ac:dyDescent="0.25">
      <c r="D456" s="6"/>
      <c r="I456" s="6"/>
    </row>
    <row r="457" spans="2:10" x14ac:dyDescent="0.25">
      <c r="D457" s="6"/>
      <c r="I457" s="6"/>
    </row>
    <row r="458" spans="2:10" x14ac:dyDescent="0.25">
      <c r="D458" s="6"/>
      <c r="I458" s="6"/>
    </row>
    <row r="459" spans="2:10" x14ac:dyDescent="0.25">
      <c r="D459" s="6"/>
      <c r="I459" s="6"/>
    </row>
    <row r="461" spans="2:10" x14ac:dyDescent="0.25">
      <c r="C461" s="1" t="s">
        <v>381</v>
      </c>
    </row>
    <row r="463" spans="2:10" x14ac:dyDescent="0.25">
      <c r="C463" s="1" t="s">
        <v>382</v>
      </c>
    </row>
    <row r="465" spans="2:5" x14ac:dyDescent="0.25">
      <c r="B465" s="26">
        <v>1</v>
      </c>
      <c r="C465" s="1" t="s">
        <v>383</v>
      </c>
      <c r="E465" s="1">
        <v>1000</v>
      </c>
    </row>
    <row r="466" spans="2:5" x14ac:dyDescent="0.25">
      <c r="B466" s="26">
        <v>2</v>
      </c>
      <c r="C466" s="1" t="s">
        <v>384</v>
      </c>
      <c r="E466" s="1">
        <v>1500</v>
      </c>
    </row>
    <row r="467" spans="2:5" x14ac:dyDescent="0.25">
      <c r="B467" s="26">
        <v>3</v>
      </c>
      <c r="C467" s="1" t="s">
        <v>385</v>
      </c>
      <c r="E467" s="1">
        <v>2000</v>
      </c>
    </row>
    <row r="468" spans="2:5" x14ac:dyDescent="0.25">
      <c r="C468" s="1" t="s">
        <v>386</v>
      </c>
    </row>
    <row r="469" spans="2:5" x14ac:dyDescent="0.25">
      <c r="C469" s="1" t="s">
        <v>387</v>
      </c>
    </row>
    <row r="470" spans="2:5" x14ac:dyDescent="0.25">
      <c r="C470" s="1" t="s">
        <v>388</v>
      </c>
    </row>
    <row r="471" spans="2:5" x14ac:dyDescent="0.25">
      <c r="C471" s="1" t="s">
        <v>111</v>
      </c>
      <c r="D471" s="20">
        <v>0.5</v>
      </c>
      <c r="E471" s="1" t="s">
        <v>389</v>
      </c>
    </row>
    <row r="472" spans="2:5" x14ac:dyDescent="0.25">
      <c r="D472" s="20">
        <v>0.4</v>
      </c>
      <c r="E472" s="1" t="s">
        <v>390</v>
      </c>
    </row>
    <row r="473" spans="2:5" x14ac:dyDescent="0.25">
      <c r="D473" s="20">
        <v>0.1</v>
      </c>
      <c r="E473" s="1" t="s">
        <v>391</v>
      </c>
    </row>
    <row r="474" spans="2:5" x14ac:dyDescent="0.25">
      <c r="C474" s="1" t="s">
        <v>258</v>
      </c>
      <c r="D474" s="20">
        <v>0.75</v>
      </c>
      <c r="E474" s="1" t="s">
        <v>389</v>
      </c>
    </row>
    <row r="475" spans="2:5" x14ac:dyDescent="0.25">
      <c r="D475" s="20">
        <v>0.2</v>
      </c>
      <c r="E475" s="1" t="s">
        <v>390</v>
      </c>
    </row>
    <row r="476" spans="2:5" x14ac:dyDescent="0.25">
      <c r="D476" s="20">
        <f>1-D474-D475</f>
        <v>4.9999999999999989E-2</v>
      </c>
      <c r="E476" s="1" t="s">
        <v>391</v>
      </c>
    </row>
    <row r="477" spans="2:5" x14ac:dyDescent="0.25">
      <c r="C477" s="1" t="s">
        <v>119</v>
      </c>
      <c r="D477" s="20">
        <v>0.6</v>
      </c>
      <c r="E477" s="1" t="s">
        <v>389</v>
      </c>
    </row>
    <row r="478" spans="2:5" x14ac:dyDescent="0.25">
      <c r="D478" s="20">
        <v>0.2</v>
      </c>
      <c r="E478" s="1" t="s">
        <v>390</v>
      </c>
    </row>
    <row r="479" spans="2:5" x14ac:dyDescent="0.25">
      <c r="D479" s="20">
        <v>0.2</v>
      </c>
      <c r="E479" s="1" t="s">
        <v>391</v>
      </c>
    </row>
    <row r="480" spans="2:5" x14ac:dyDescent="0.25">
      <c r="D480" s="20"/>
    </row>
    <row r="481" spans="2:10" x14ac:dyDescent="0.25">
      <c r="B481" s="28"/>
      <c r="C481" s="4" t="s">
        <v>111</v>
      </c>
      <c r="D481" s="4"/>
      <c r="E481" s="4"/>
      <c r="G481" s="28"/>
      <c r="H481" s="4" t="s">
        <v>112</v>
      </c>
      <c r="I481" s="4"/>
      <c r="J481" s="28"/>
    </row>
    <row r="482" spans="2:10" x14ac:dyDescent="0.25">
      <c r="B482" s="26">
        <f>B465</f>
        <v>1</v>
      </c>
      <c r="C482" s="1">
        <f>E465</f>
        <v>1000</v>
      </c>
      <c r="D482" s="5"/>
      <c r="G482" s="26"/>
      <c r="I482" s="5">
        <f>C482</f>
        <v>1000</v>
      </c>
      <c r="J482" s="26">
        <f>B482</f>
        <v>1</v>
      </c>
    </row>
    <row r="483" spans="2:10" x14ac:dyDescent="0.25">
      <c r="D483" s="6"/>
      <c r="G483" s="26"/>
      <c r="I483" s="6"/>
    </row>
    <row r="484" spans="2:10" x14ac:dyDescent="0.25">
      <c r="D484" s="6"/>
      <c r="G484" s="26"/>
      <c r="I484" s="6"/>
    </row>
    <row r="485" spans="2:10" x14ac:dyDescent="0.25">
      <c r="D485" s="6"/>
      <c r="G485" s="26"/>
      <c r="I485" s="6"/>
    </row>
    <row r="486" spans="2:10" x14ac:dyDescent="0.25">
      <c r="D486" s="6"/>
      <c r="G486" s="26"/>
      <c r="I486" s="6"/>
    </row>
    <row r="487" spans="2:10" x14ac:dyDescent="0.25">
      <c r="D487" s="6"/>
      <c r="G487" s="26"/>
      <c r="I487" s="6"/>
    </row>
    <row r="489" spans="2:10" x14ac:dyDescent="0.25">
      <c r="B489" s="28"/>
      <c r="C489" s="4" t="s">
        <v>392</v>
      </c>
      <c r="D489" s="4"/>
      <c r="E489" s="4"/>
      <c r="G489" s="28"/>
      <c r="H489" s="4" t="s">
        <v>393</v>
      </c>
      <c r="I489" s="4"/>
      <c r="J489" s="28"/>
    </row>
    <row r="490" spans="2:10" x14ac:dyDescent="0.25">
      <c r="B490" s="26">
        <f>B466</f>
        <v>2</v>
      </c>
      <c r="C490" s="1">
        <f>E466</f>
        <v>1500</v>
      </c>
      <c r="D490" s="5"/>
      <c r="G490" s="26"/>
      <c r="I490" s="5">
        <f>C490</f>
        <v>1500</v>
      </c>
      <c r="J490" s="26">
        <f>B490</f>
        <v>2</v>
      </c>
    </row>
    <row r="491" spans="2:10" x14ac:dyDescent="0.25">
      <c r="D491" s="6"/>
      <c r="G491" s="26"/>
      <c r="I491" s="6">
        <f>C498</f>
        <v>2000</v>
      </c>
      <c r="J491" s="26">
        <f>B498</f>
        <v>3</v>
      </c>
    </row>
    <row r="492" spans="2:10" x14ac:dyDescent="0.25">
      <c r="D492" s="6"/>
      <c r="G492" s="26"/>
      <c r="I492" s="6"/>
    </row>
    <row r="493" spans="2:10" x14ac:dyDescent="0.25">
      <c r="D493" s="6"/>
      <c r="G493" s="26"/>
      <c r="I493" s="6"/>
    </row>
    <row r="494" spans="2:10" x14ac:dyDescent="0.25">
      <c r="D494" s="6"/>
      <c r="G494" s="26"/>
      <c r="I494" s="6"/>
    </row>
    <row r="495" spans="2:10" x14ac:dyDescent="0.25">
      <c r="D495" s="6"/>
      <c r="G495" s="26"/>
      <c r="I495" s="6"/>
    </row>
    <row r="497" spans="2:10" x14ac:dyDescent="0.25">
      <c r="B497" s="28"/>
      <c r="C497" s="4" t="s">
        <v>119</v>
      </c>
      <c r="D497" s="4"/>
      <c r="E497" s="4"/>
      <c r="G497" s="28"/>
      <c r="H497" s="28">
        <v>490</v>
      </c>
      <c r="I497" s="4"/>
      <c r="J497" s="28"/>
    </row>
    <row r="498" spans="2:10" x14ac:dyDescent="0.25">
      <c r="B498" s="26">
        <f>B467</f>
        <v>3</v>
      </c>
      <c r="C498" s="1">
        <f>E467</f>
        <v>2000</v>
      </c>
      <c r="D498" s="5"/>
      <c r="G498" s="26"/>
      <c r="I498" s="5">
        <f>C482</f>
        <v>1000</v>
      </c>
    </row>
    <row r="499" spans="2:10" x14ac:dyDescent="0.25">
      <c r="D499" s="6"/>
      <c r="G499" s="26"/>
      <c r="I499" s="6"/>
    </row>
    <row r="500" spans="2:10" x14ac:dyDescent="0.25">
      <c r="D500" s="6"/>
      <c r="G500" s="26"/>
      <c r="I500" s="6"/>
    </row>
    <row r="501" spans="2:10" x14ac:dyDescent="0.25">
      <c r="D501" s="6"/>
      <c r="G501" s="26"/>
      <c r="I501" s="6"/>
    </row>
    <row r="502" spans="2:10" x14ac:dyDescent="0.25">
      <c r="D502" s="6"/>
      <c r="G502" s="26"/>
      <c r="I502" s="6"/>
    </row>
    <row r="503" spans="2:10" x14ac:dyDescent="0.25">
      <c r="D503" s="6"/>
      <c r="G503" s="26"/>
      <c r="I503" s="6"/>
    </row>
    <row r="506" spans="2:10" x14ac:dyDescent="0.25">
      <c r="B506" s="28"/>
      <c r="C506" s="4" t="str">
        <f>E471</f>
        <v>koszty produkcji podstawowej</v>
      </c>
      <c r="D506" s="4"/>
      <c r="E506" s="4"/>
      <c r="G506" s="28"/>
      <c r="H506" s="4" t="str">
        <f>E472</f>
        <v>koszty sprzedaży</v>
      </c>
      <c r="I506" s="4"/>
      <c r="J506" s="28"/>
    </row>
    <row r="507" spans="2:10" x14ac:dyDescent="0.25">
      <c r="C507" s="1">
        <f>E465*D471</f>
        <v>500</v>
      </c>
      <c r="D507" s="5"/>
      <c r="G507" s="26"/>
      <c r="H507" s="1">
        <f>I498*D472</f>
        <v>400</v>
      </c>
      <c r="I507" s="5"/>
    </row>
    <row r="508" spans="2:10" x14ac:dyDescent="0.25">
      <c r="D508" s="6"/>
      <c r="G508" s="26"/>
      <c r="I508" s="6"/>
    </row>
    <row r="509" spans="2:10" x14ac:dyDescent="0.25">
      <c r="D509" s="6"/>
      <c r="G509" s="26"/>
      <c r="I509" s="6"/>
    </row>
    <row r="510" spans="2:10" x14ac:dyDescent="0.25">
      <c r="D510" s="6"/>
      <c r="G510" s="26"/>
      <c r="I510" s="6"/>
    </row>
    <row r="511" spans="2:10" x14ac:dyDescent="0.25">
      <c r="D511" s="6"/>
      <c r="G511" s="26"/>
      <c r="I511" s="6"/>
    </row>
    <row r="512" spans="2:10" x14ac:dyDescent="0.25">
      <c r="D512" s="6"/>
      <c r="G512" s="26"/>
      <c r="I512" s="6"/>
    </row>
    <row r="514" spans="2:10" x14ac:dyDescent="0.25">
      <c r="B514" s="28"/>
      <c r="C514" s="4" t="str">
        <f>E473</f>
        <v>koszty zarządu</v>
      </c>
      <c r="D514" s="4"/>
      <c r="E514" s="4"/>
      <c r="G514" s="28"/>
      <c r="H514" s="4"/>
      <c r="I514" s="4"/>
      <c r="J514" s="28"/>
    </row>
    <row r="515" spans="2:10" x14ac:dyDescent="0.25">
      <c r="C515" s="1">
        <f>I498*D473</f>
        <v>100</v>
      </c>
      <c r="D515" s="5"/>
      <c r="G515" s="26"/>
      <c r="I515" s="5"/>
    </row>
    <row r="516" spans="2:10" x14ac:dyDescent="0.25">
      <c r="D516" s="6"/>
      <c r="G516" s="26"/>
      <c r="I516" s="6"/>
    </row>
    <row r="517" spans="2:10" x14ac:dyDescent="0.25">
      <c r="D517" s="6"/>
      <c r="G517" s="26"/>
      <c r="I517" s="6"/>
    </row>
    <row r="518" spans="2:10" x14ac:dyDescent="0.25">
      <c r="D518" s="6"/>
      <c r="G518" s="26"/>
      <c r="I518" s="6"/>
    </row>
    <row r="519" spans="2:10" x14ac:dyDescent="0.25">
      <c r="D519" s="6"/>
      <c r="G519" s="26"/>
      <c r="I519" s="6"/>
    </row>
    <row r="520" spans="2:10" x14ac:dyDescent="0.25">
      <c r="B520" s="27" t="s">
        <v>409</v>
      </c>
      <c r="C520" s="2"/>
      <c r="D520" s="37"/>
      <c r="E520" s="2"/>
      <c r="F520" s="2"/>
      <c r="G520" s="26"/>
      <c r="I520" s="6"/>
    </row>
    <row r="521" spans="2:10" x14ac:dyDescent="0.25">
      <c r="B521" s="27" t="s">
        <v>410</v>
      </c>
      <c r="C521" s="27"/>
    </row>
    <row r="523" spans="2:10" x14ac:dyDescent="0.25">
      <c r="B523" s="28"/>
      <c r="C523" s="4" t="s">
        <v>6</v>
      </c>
      <c r="D523" s="4"/>
      <c r="E523" s="4"/>
      <c r="G523" s="28"/>
      <c r="H523" s="4" t="s">
        <v>376</v>
      </c>
      <c r="I523" s="4"/>
      <c r="J523" s="28"/>
    </row>
    <row r="524" spans="2:10" x14ac:dyDescent="0.25">
      <c r="B524" s="26" t="s">
        <v>2</v>
      </c>
      <c r="C524" s="1">
        <v>5000000</v>
      </c>
      <c r="D524" s="5">
        <f>C524</f>
        <v>5000000</v>
      </c>
      <c r="E524" s="1" t="s">
        <v>7</v>
      </c>
      <c r="G524" s="26" t="s">
        <v>297</v>
      </c>
      <c r="H524" s="1">
        <f>C548</f>
        <v>83333.333333333328</v>
      </c>
      <c r="I524" s="5">
        <f>C524</f>
        <v>5000000</v>
      </c>
      <c r="J524" s="26" t="str">
        <f>B524</f>
        <v>1)</v>
      </c>
    </row>
    <row r="525" spans="2:10" x14ac:dyDescent="0.25">
      <c r="D525" s="6"/>
      <c r="G525" s="26"/>
      <c r="I525" s="6"/>
    </row>
    <row r="526" spans="2:10" x14ac:dyDescent="0.25">
      <c r="D526" s="6"/>
      <c r="G526" s="26"/>
      <c r="I526" s="6"/>
    </row>
    <row r="527" spans="2:10" x14ac:dyDescent="0.25">
      <c r="D527" s="6"/>
      <c r="G527" s="26"/>
      <c r="I527" s="6"/>
    </row>
    <row r="528" spans="2:10" x14ac:dyDescent="0.25">
      <c r="D528" s="6"/>
      <c r="G528" s="26"/>
      <c r="I528" s="6"/>
    </row>
    <row r="529" spans="2:11" x14ac:dyDescent="0.25">
      <c r="D529" s="6"/>
      <c r="G529" s="26"/>
      <c r="I529" s="6"/>
    </row>
    <row r="531" spans="2:11" x14ac:dyDescent="0.25">
      <c r="B531" s="28"/>
      <c r="C531" s="4" t="s">
        <v>99</v>
      </c>
      <c r="D531" s="4"/>
      <c r="E531" s="4"/>
      <c r="G531" s="28"/>
      <c r="H531" s="4" t="s">
        <v>104</v>
      </c>
      <c r="I531" s="4"/>
      <c r="J531" s="28"/>
    </row>
    <row r="532" spans="2:11" x14ac:dyDescent="0.25">
      <c r="B532" s="26" t="str">
        <f>E524</f>
        <v>2)</v>
      </c>
      <c r="C532" s="1">
        <f>D524</f>
        <v>5000000</v>
      </c>
      <c r="D532" s="5"/>
      <c r="G532" s="26"/>
      <c r="I532" s="63">
        <v>3000000</v>
      </c>
      <c r="J532" s="50" t="s">
        <v>9</v>
      </c>
    </row>
    <row r="533" spans="2:11" x14ac:dyDescent="0.25">
      <c r="D533" s="6"/>
      <c r="G533" s="26"/>
      <c r="I533" s="49" t="s">
        <v>442</v>
      </c>
    </row>
    <row r="534" spans="2:11" x14ac:dyDescent="0.25">
      <c r="D534" s="6"/>
      <c r="G534" s="26"/>
      <c r="I534" s="6"/>
    </row>
    <row r="535" spans="2:11" x14ac:dyDescent="0.25">
      <c r="D535" s="6"/>
      <c r="G535" s="26"/>
      <c r="I535" s="6"/>
    </row>
    <row r="536" spans="2:11" x14ac:dyDescent="0.25">
      <c r="D536" s="6"/>
      <c r="G536" s="26"/>
      <c r="I536" s="6"/>
    </row>
    <row r="537" spans="2:11" x14ac:dyDescent="0.25">
      <c r="D537" s="6"/>
      <c r="G537" s="26"/>
      <c r="I537" s="6"/>
    </row>
    <row r="539" spans="2:11" x14ac:dyDescent="0.25">
      <c r="B539" s="28"/>
      <c r="C539" s="4" t="s">
        <v>119</v>
      </c>
      <c r="D539" s="4"/>
      <c r="E539" s="4"/>
      <c r="G539" s="28"/>
      <c r="H539" s="4" t="s">
        <v>411</v>
      </c>
      <c r="I539" s="4"/>
      <c r="J539" s="28"/>
    </row>
    <row r="540" spans="2:11" x14ac:dyDescent="0.25">
      <c r="B540" s="50" t="str">
        <f>J540</f>
        <v>3A)</v>
      </c>
      <c r="C540" s="38">
        <f>I540</f>
        <v>1000000</v>
      </c>
      <c r="D540" s="5"/>
      <c r="G540" s="50" t="str">
        <f>J532</f>
        <v>3)</v>
      </c>
      <c r="H540" s="38">
        <f>I532</f>
        <v>3000000</v>
      </c>
      <c r="I540" s="63">
        <f>H540/3</f>
        <v>1000000</v>
      </c>
      <c r="J540" s="50" t="s">
        <v>412</v>
      </c>
    </row>
    <row r="541" spans="2:11" x14ac:dyDescent="0.25">
      <c r="B541" s="60"/>
      <c r="C541" s="59"/>
      <c r="D541" s="6"/>
      <c r="G541" s="155"/>
      <c r="H541" s="156">
        <f>H540</f>
        <v>3000000</v>
      </c>
      <c r="I541" s="63">
        <f>I540</f>
        <v>1000000</v>
      </c>
      <c r="J541" s="155"/>
    </row>
    <row r="542" spans="2:11" x14ac:dyDescent="0.25">
      <c r="D542" s="6"/>
      <c r="G542" s="30"/>
      <c r="I542" s="49">
        <f>H541-I541</f>
        <v>2000000</v>
      </c>
      <c r="J542" s="50" t="s">
        <v>31</v>
      </c>
      <c r="K542" s="114" t="s">
        <v>414</v>
      </c>
    </row>
    <row r="543" spans="2:11" x14ac:dyDescent="0.25">
      <c r="D543" s="6"/>
      <c r="G543" s="30"/>
      <c r="I543" s="6"/>
      <c r="K543" s="1" t="s">
        <v>413</v>
      </c>
    </row>
    <row r="544" spans="2:11" x14ac:dyDescent="0.25">
      <c r="D544" s="6"/>
      <c r="G544" s="26"/>
    </row>
    <row r="545" spans="2:10" x14ac:dyDescent="0.25">
      <c r="D545" s="6"/>
      <c r="G545" s="26"/>
    </row>
    <row r="547" spans="2:10" x14ac:dyDescent="0.25">
      <c r="B547" s="28"/>
      <c r="C547" s="4" t="s">
        <v>111</v>
      </c>
      <c r="D547" s="4"/>
      <c r="E547" s="28"/>
      <c r="G547" s="28"/>
      <c r="H547" s="4" t="s">
        <v>112</v>
      </c>
      <c r="I547" s="4"/>
      <c r="J547" s="28"/>
    </row>
    <row r="548" spans="2:10" x14ac:dyDescent="0.25">
      <c r="B548" s="71" t="s">
        <v>28</v>
      </c>
      <c r="C548" s="2">
        <f>I524/5/12</f>
        <v>83333.333333333328</v>
      </c>
      <c r="D548" s="5"/>
      <c r="E548" s="26"/>
      <c r="G548" s="26"/>
      <c r="I548" s="5">
        <f>C548</f>
        <v>83333.333333333328</v>
      </c>
      <c r="J548" s="26" t="str">
        <f>B548</f>
        <v>4)</v>
      </c>
    </row>
    <row r="549" spans="2:10" x14ac:dyDescent="0.25">
      <c r="D549" s="6"/>
      <c r="E549" s="26"/>
      <c r="G549" s="26"/>
      <c r="I549" s="6"/>
    </row>
    <row r="550" spans="2:10" x14ac:dyDescent="0.25">
      <c r="D550" s="6"/>
      <c r="E550" s="26"/>
      <c r="G550" s="26"/>
      <c r="I550" s="6"/>
    </row>
    <row r="551" spans="2:10" x14ac:dyDescent="0.25">
      <c r="D551" s="6"/>
      <c r="E551" s="26"/>
      <c r="G551" s="26"/>
      <c r="I551" s="6"/>
    </row>
    <row r="552" spans="2:10" x14ac:dyDescent="0.25">
      <c r="D552" s="6"/>
      <c r="E552" s="26"/>
      <c r="G552" s="26"/>
      <c r="I552" s="6"/>
    </row>
    <row r="553" spans="2:10" x14ac:dyDescent="0.25">
      <c r="D553" s="6"/>
      <c r="E553" s="26"/>
      <c r="G553" s="26"/>
      <c r="I553" s="6"/>
    </row>
    <row r="555" spans="2:10" x14ac:dyDescent="0.25">
      <c r="B555" s="28"/>
      <c r="C555" s="4" t="s">
        <v>378</v>
      </c>
      <c r="D555" s="4"/>
      <c r="E555" s="28"/>
      <c r="G555" s="157"/>
      <c r="H555" s="94"/>
      <c r="I555" s="94"/>
      <c r="J555" s="157"/>
    </row>
    <row r="556" spans="2:10" x14ac:dyDescent="0.25">
      <c r="D556" s="122">
        <f>H524</f>
        <v>83333.333333333328</v>
      </c>
      <c r="E556" s="71" t="str">
        <f>G524</f>
        <v>4a)</v>
      </c>
      <c r="G556" s="157"/>
      <c r="H556" s="94"/>
      <c r="I556" s="94"/>
      <c r="J556" s="157"/>
    </row>
    <row r="557" spans="2:10" x14ac:dyDescent="0.25">
      <c r="D557" s="6"/>
      <c r="E557" s="26"/>
      <c r="G557" s="157"/>
      <c r="H557" s="94"/>
      <c r="I557" s="94"/>
      <c r="J557" s="157"/>
    </row>
    <row r="558" spans="2:10" x14ac:dyDescent="0.25">
      <c r="D558" s="6"/>
      <c r="E558" s="26"/>
      <c r="G558" s="157"/>
      <c r="H558" s="94"/>
      <c r="I558" s="94"/>
      <c r="J558" s="157"/>
    </row>
    <row r="559" spans="2:10" x14ac:dyDescent="0.25">
      <c r="D559" s="6"/>
      <c r="E559" s="26"/>
      <c r="G559" s="157"/>
      <c r="H559" s="94"/>
      <c r="I559" s="94"/>
      <c r="J559" s="157"/>
    </row>
    <row r="560" spans="2:10" x14ac:dyDescent="0.25">
      <c r="D560" s="6"/>
      <c r="E560" s="26"/>
      <c r="G560" s="157"/>
      <c r="H560" s="94"/>
      <c r="I560" s="94"/>
      <c r="J560" s="157"/>
    </row>
    <row r="561" spans="2:11" x14ac:dyDescent="0.25">
      <c r="D561" s="6"/>
      <c r="E561" s="26"/>
      <c r="G561" s="157"/>
      <c r="H561" s="94"/>
      <c r="I561" s="94"/>
      <c r="J561" s="157"/>
    </row>
    <row r="562" spans="2:11" x14ac:dyDescent="0.25">
      <c r="G562" s="157"/>
      <c r="H562" s="94"/>
      <c r="I562" s="94"/>
      <c r="J562" s="157"/>
    </row>
    <row r="563" spans="2:11" x14ac:dyDescent="0.25">
      <c r="B563" s="27" t="s">
        <v>415</v>
      </c>
      <c r="C563" s="27"/>
      <c r="E563" s="33"/>
      <c r="F563" s="26" t="s">
        <v>441</v>
      </c>
      <c r="G563" s="157"/>
      <c r="H563" s="94"/>
      <c r="I563" s="94"/>
      <c r="J563" s="157"/>
    </row>
    <row r="564" spans="2:11" x14ac:dyDescent="0.25">
      <c r="G564" s="157"/>
      <c r="H564" s="94"/>
      <c r="I564" s="94"/>
      <c r="J564" s="157"/>
    </row>
    <row r="566" spans="2:11" x14ac:dyDescent="0.25">
      <c r="B566" s="57"/>
      <c r="C566" s="76" t="s">
        <v>188</v>
      </c>
      <c r="D566" s="58"/>
      <c r="E566" s="58"/>
      <c r="F566" s="59"/>
      <c r="G566" s="57"/>
      <c r="H566" s="58" t="s">
        <v>141</v>
      </c>
      <c r="I566" s="58"/>
      <c r="J566" s="57"/>
    </row>
    <row r="567" spans="2:11" x14ac:dyDescent="0.25">
      <c r="B567" s="60"/>
      <c r="C567" s="59">
        <f>D567</f>
        <v>5000</v>
      </c>
      <c r="D567" s="152">
        <v>5000</v>
      </c>
      <c r="E567" s="59" t="s">
        <v>2</v>
      </c>
      <c r="F567" s="59"/>
      <c r="G567" s="60"/>
      <c r="H567" s="59"/>
      <c r="I567" s="152">
        <f>D567*0.23</f>
        <v>1150</v>
      </c>
      <c r="J567" s="60" t="str">
        <f>E567</f>
        <v>1)</v>
      </c>
    </row>
    <row r="568" spans="2:11" x14ac:dyDescent="0.25">
      <c r="B568" s="60"/>
      <c r="C568" s="59"/>
      <c r="D568" s="153"/>
      <c r="E568" s="59"/>
      <c r="F568" s="59"/>
      <c r="G568" s="60"/>
      <c r="H568" s="59"/>
      <c r="I568" s="153"/>
      <c r="J568" s="60"/>
    </row>
    <row r="569" spans="2:11" x14ac:dyDescent="0.25">
      <c r="B569" s="60"/>
      <c r="C569" s="59"/>
      <c r="D569" s="153"/>
      <c r="E569" s="59"/>
      <c r="F569" s="59"/>
      <c r="G569" s="60"/>
      <c r="H569" s="59"/>
      <c r="I569" s="153"/>
      <c r="J569" s="60"/>
    </row>
    <row r="570" spans="2:11" x14ac:dyDescent="0.25">
      <c r="B570" s="60"/>
      <c r="C570" s="59"/>
      <c r="D570" s="153"/>
      <c r="E570" s="59"/>
      <c r="F570" s="59"/>
      <c r="G570" s="60"/>
      <c r="H570" s="59"/>
      <c r="I570" s="153"/>
      <c r="J570" s="60"/>
    </row>
    <row r="571" spans="2:11" x14ac:dyDescent="0.25">
      <c r="B571" s="60"/>
      <c r="C571" s="59"/>
      <c r="D571" s="153"/>
      <c r="E571" s="59"/>
      <c r="F571" s="59"/>
      <c r="G571" s="60"/>
      <c r="H571" s="59"/>
      <c r="I571" s="153"/>
      <c r="J571" s="60"/>
    </row>
    <row r="572" spans="2:11" x14ac:dyDescent="0.25">
      <c r="B572" s="60"/>
      <c r="C572" s="59"/>
      <c r="D572" s="153"/>
      <c r="E572" s="59"/>
      <c r="F572" s="59"/>
      <c r="G572" s="60"/>
      <c r="H572" s="59"/>
      <c r="I572" s="153"/>
      <c r="J572" s="60"/>
    </row>
    <row r="574" spans="2:11" x14ac:dyDescent="0.25">
      <c r="B574" s="57"/>
      <c r="C574" s="58" t="s">
        <v>161</v>
      </c>
      <c r="D574" s="58"/>
      <c r="E574" s="58"/>
      <c r="F574" s="59"/>
      <c r="G574" s="57"/>
      <c r="H574" s="58" t="s">
        <v>137</v>
      </c>
      <c r="I574" s="58"/>
      <c r="J574" s="57"/>
    </row>
    <row r="575" spans="2:11" x14ac:dyDescent="0.25">
      <c r="B575" s="60" t="str">
        <f>E567</f>
        <v>1)</v>
      </c>
      <c r="C575" s="59">
        <f>D567+I567</f>
        <v>6150</v>
      </c>
      <c r="D575" s="152"/>
      <c r="E575" s="59"/>
      <c r="F575" s="59"/>
      <c r="G575" s="60" t="s">
        <v>101</v>
      </c>
      <c r="H575" s="59">
        <v>20000</v>
      </c>
      <c r="I575" s="152">
        <v>3000</v>
      </c>
      <c r="J575" s="60" t="s">
        <v>7</v>
      </c>
    </row>
    <row r="576" spans="2:11" x14ac:dyDescent="0.25">
      <c r="B576" s="60" t="str">
        <f>J599</f>
        <v>5)</v>
      </c>
      <c r="C576" s="59">
        <f>I599</f>
        <v>4000</v>
      </c>
      <c r="D576" s="153"/>
      <c r="E576" s="59"/>
      <c r="F576" s="59"/>
      <c r="G576" s="60"/>
      <c r="H576" s="59"/>
      <c r="I576" s="153">
        <f>H615</f>
        <v>10000</v>
      </c>
      <c r="J576" s="60" t="str">
        <f>G615</f>
        <v>8)</v>
      </c>
      <c r="K576" s="1" t="s">
        <v>419</v>
      </c>
    </row>
    <row r="577" spans="2:10" x14ac:dyDescent="0.25">
      <c r="B577" s="60" t="str">
        <f>E615</f>
        <v>7)</v>
      </c>
      <c r="C577" s="59">
        <f>D615</f>
        <v>1500</v>
      </c>
      <c r="D577" s="153"/>
      <c r="E577" s="59"/>
      <c r="F577" s="59"/>
      <c r="G577" s="60"/>
      <c r="H577" s="59"/>
      <c r="I577" s="153"/>
      <c r="J577" s="60"/>
    </row>
    <row r="578" spans="2:10" x14ac:dyDescent="0.25">
      <c r="B578" s="60"/>
      <c r="C578" s="59"/>
      <c r="D578" s="153"/>
      <c r="E578" s="59"/>
      <c r="F578" s="59"/>
      <c r="G578" s="60"/>
      <c r="H578" s="59"/>
      <c r="I578" s="153"/>
      <c r="J578" s="60"/>
    </row>
    <row r="579" spans="2:10" x14ac:dyDescent="0.25">
      <c r="B579" s="60"/>
      <c r="C579" s="59"/>
      <c r="D579" s="153"/>
      <c r="E579" s="59"/>
      <c r="F579" s="59"/>
      <c r="G579" s="60"/>
      <c r="H579" s="59"/>
      <c r="I579" s="153"/>
      <c r="J579" s="60"/>
    </row>
    <row r="580" spans="2:10" x14ac:dyDescent="0.25">
      <c r="B580" s="60"/>
      <c r="C580" s="59"/>
      <c r="D580" s="153"/>
      <c r="E580" s="59"/>
      <c r="F580" s="59"/>
      <c r="G580" s="60"/>
      <c r="H580" s="59"/>
      <c r="I580" s="153"/>
      <c r="J580" s="60"/>
    </row>
    <row r="582" spans="2:10" x14ac:dyDescent="0.25">
      <c r="B582" s="57"/>
      <c r="C582" s="76" t="s">
        <v>142</v>
      </c>
      <c r="D582" s="58"/>
      <c r="E582" s="58"/>
      <c r="F582" s="59"/>
      <c r="G582" s="57"/>
      <c r="H582" s="76" t="s">
        <v>119</v>
      </c>
      <c r="I582" s="58"/>
      <c r="J582" s="57"/>
    </row>
    <row r="583" spans="2:10" x14ac:dyDescent="0.25">
      <c r="B583" s="60" t="str">
        <f>J575</f>
        <v>2)</v>
      </c>
      <c r="C583" s="59">
        <f>I575</f>
        <v>3000</v>
      </c>
      <c r="D583" s="152">
        <f>C583</f>
        <v>3000</v>
      </c>
      <c r="E583" s="59"/>
      <c r="F583" s="59"/>
      <c r="G583" s="60" t="s">
        <v>9</v>
      </c>
      <c r="H583" s="59">
        <v>100</v>
      </c>
      <c r="I583" s="152">
        <f>H583</f>
        <v>100</v>
      </c>
      <c r="J583" s="60"/>
    </row>
    <row r="584" spans="2:10" x14ac:dyDescent="0.25">
      <c r="B584" s="60"/>
      <c r="C584" s="59"/>
      <c r="D584" s="153"/>
      <c r="E584" s="59"/>
      <c r="F584" s="59"/>
      <c r="G584" s="60"/>
      <c r="H584" s="59"/>
      <c r="I584" s="153"/>
      <c r="J584" s="60"/>
    </row>
    <row r="585" spans="2:10" x14ac:dyDescent="0.25">
      <c r="B585" s="60"/>
      <c r="C585" s="59"/>
      <c r="D585" s="153"/>
      <c r="E585" s="59"/>
      <c r="F585" s="59"/>
      <c r="G585" s="60"/>
      <c r="H585" s="59"/>
      <c r="I585" s="153"/>
      <c r="J585" s="60"/>
    </row>
    <row r="586" spans="2:10" x14ac:dyDescent="0.25">
      <c r="B586" s="60"/>
      <c r="C586" s="59"/>
      <c r="D586" s="153"/>
      <c r="E586" s="59"/>
      <c r="F586" s="59"/>
      <c r="G586" s="60"/>
      <c r="H586" s="59"/>
      <c r="I586" s="153"/>
      <c r="J586" s="60"/>
    </row>
    <row r="587" spans="2:10" x14ac:dyDescent="0.25">
      <c r="B587" s="60"/>
      <c r="C587" s="59"/>
      <c r="D587" s="153"/>
      <c r="E587" s="59"/>
      <c r="F587" s="59"/>
      <c r="G587" s="60"/>
      <c r="H587" s="59"/>
      <c r="I587" s="153"/>
      <c r="J587" s="60"/>
    </row>
    <row r="588" spans="2:10" x14ac:dyDescent="0.25">
      <c r="B588" s="60"/>
      <c r="C588" s="59"/>
      <c r="D588" s="153"/>
      <c r="E588" s="59"/>
      <c r="F588" s="59"/>
      <c r="G588" s="60"/>
      <c r="H588" s="59"/>
      <c r="I588" s="153"/>
      <c r="J588" s="60"/>
    </row>
    <row r="590" spans="2:10" x14ac:dyDescent="0.25">
      <c r="B590" s="57"/>
      <c r="C590" s="58" t="s">
        <v>104</v>
      </c>
      <c r="D590" s="58"/>
      <c r="E590" s="58"/>
      <c r="F590" s="59"/>
      <c r="G590" s="57"/>
      <c r="H590" s="58" t="s">
        <v>158</v>
      </c>
      <c r="I590" s="58"/>
      <c r="J590" s="57"/>
    </row>
    <row r="591" spans="2:10" x14ac:dyDescent="0.25">
      <c r="B591" s="60"/>
      <c r="C591" s="59"/>
      <c r="D591" s="152">
        <f>H583*1.23</f>
        <v>123</v>
      </c>
      <c r="E591" s="59" t="str">
        <f>G583</f>
        <v>3)</v>
      </c>
      <c r="F591" s="59"/>
      <c r="G591" s="60" t="str">
        <f>G583</f>
        <v>3)</v>
      </c>
      <c r="H591" s="59">
        <f>D591-H583</f>
        <v>23</v>
      </c>
      <c r="I591" s="152"/>
      <c r="J591" s="60"/>
    </row>
    <row r="592" spans="2:10" x14ac:dyDescent="0.25">
      <c r="B592" s="60"/>
      <c r="C592" s="59"/>
      <c r="D592" s="153">
        <f>C599*1.23</f>
        <v>615</v>
      </c>
      <c r="E592" s="59" t="str">
        <f>B599</f>
        <v>4)</v>
      </c>
      <c r="F592" s="59"/>
      <c r="G592" s="60" t="str">
        <f>E592</f>
        <v>4)</v>
      </c>
      <c r="H592" s="59">
        <f>D592-C599</f>
        <v>115</v>
      </c>
      <c r="I592" s="153"/>
      <c r="J592" s="60"/>
    </row>
    <row r="593" spans="2:10" x14ac:dyDescent="0.25">
      <c r="B593" s="60"/>
      <c r="C593" s="59"/>
      <c r="D593" s="153"/>
      <c r="E593" s="59"/>
      <c r="F593" s="59"/>
      <c r="G593" s="60"/>
      <c r="H593" s="59"/>
      <c r="I593" s="153"/>
      <c r="J593" s="60"/>
    </row>
    <row r="594" spans="2:10" x14ac:dyDescent="0.25">
      <c r="B594" s="60"/>
      <c r="C594" s="59"/>
      <c r="D594" s="153"/>
      <c r="E594" s="59"/>
      <c r="F594" s="59"/>
      <c r="G594" s="60"/>
      <c r="H594" s="59"/>
      <c r="I594" s="153"/>
      <c r="J594" s="60"/>
    </row>
    <row r="595" spans="2:10" x14ac:dyDescent="0.25">
      <c r="B595" s="60"/>
      <c r="C595" s="59"/>
      <c r="D595" s="153"/>
      <c r="E595" s="59"/>
      <c r="F595" s="59"/>
      <c r="G595" s="60"/>
      <c r="H595" s="59"/>
      <c r="I595" s="153"/>
      <c r="J595" s="60"/>
    </row>
    <row r="596" spans="2:10" x14ac:dyDescent="0.25">
      <c r="B596" s="60"/>
      <c r="C596" s="59"/>
      <c r="D596" s="153"/>
      <c r="E596" s="59"/>
      <c r="F596" s="59"/>
      <c r="G596" s="60"/>
      <c r="H596" s="59"/>
      <c r="I596" s="153"/>
      <c r="J596" s="60"/>
    </row>
    <row r="598" spans="2:10" x14ac:dyDescent="0.25">
      <c r="B598" s="57"/>
      <c r="C598" s="76" t="s">
        <v>258</v>
      </c>
      <c r="D598" s="58"/>
      <c r="E598" s="58"/>
      <c r="F598" s="59"/>
      <c r="G598" s="57"/>
      <c r="H598" s="76" t="s">
        <v>378</v>
      </c>
      <c r="I598" s="58"/>
      <c r="J598" s="57"/>
    </row>
    <row r="599" spans="2:10" x14ac:dyDescent="0.25">
      <c r="B599" s="60" t="s">
        <v>28</v>
      </c>
      <c r="C599" s="59">
        <v>500</v>
      </c>
      <c r="D599" s="152">
        <f>C599</f>
        <v>500</v>
      </c>
      <c r="E599" s="59"/>
      <c r="F599" s="59"/>
      <c r="G599" s="60"/>
      <c r="H599" s="59">
        <f>I599</f>
        <v>4000</v>
      </c>
      <c r="I599" s="152">
        <v>4000</v>
      </c>
      <c r="J599" s="60" t="s">
        <v>98</v>
      </c>
    </row>
    <row r="600" spans="2:10" x14ac:dyDescent="0.25">
      <c r="B600" s="60"/>
      <c r="C600" s="59"/>
      <c r="D600" s="153"/>
      <c r="E600" s="59"/>
      <c r="F600" s="59"/>
      <c r="G600" s="60"/>
      <c r="H600" s="59"/>
      <c r="I600" s="153"/>
      <c r="J600" s="60"/>
    </row>
    <row r="601" spans="2:10" x14ac:dyDescent="0.25">
      <c r="B601" s="60"/>
      <c r="C601" s="59"/>
      <c r="D601" s="153"/>
      <c r="E601" s="59"/>
      <c r="F601" s="59"/>
      <c r="G601" s="60"/>
      <c r="H601" s="59"/>
      <c r="I601" s="153"/>
      <c r="J601" s="60"/>
    </row>
    <row r="602" spans="2:10" x14ac:dyDescent="0.25">
      <c r="B602" s="60"/>
      <c r="C602" s="59"/>
      <c r="D602" s="153"/>
      <c r="E602" s="59"/>
      <c r="F602" s="59"/>
      <c r="G602" s="60"/>
      <c r="H602" s="59"/>
      <c r="I602" s="153"/>
      <c r="J602" s="60"/>
    </row>
    <row r="603" spans="2:10" x14ac:dyDescent="0.25">
      <c r="B603" s="60"/>
      <c r="C603" s="59"/>
      <c r="D603" s="153"/>
      <c r="E603" s="59"/>
      <c r="F603" s="59"/>
      <c r="G603" s="60"/>
      <c r="H603" s="59"/>
      <c r="I603" s="153"/>
      <c r="J603" s="60"/>
    </row>
    <row r="604" spans="2:10" x14ac:dyDescent="0.25">
      <c r="B604" s="60"/>
      <c r="C604" s="59"/>
      <c r="D604" s="153"/>
      <c r="E604" s="59"/>
      <c r="F604" s="59"/>
      <c r="G604" s="60"/>
      <c r="H604" s="59"/>
      <c r="I604" s="153"/>
      <c r="J604" s="60"/>
    </row>
    <row r="606" spans="2:10" x14ac:dyDescent="0.25">
      <c r="B606" s="57"/>
      <c r="C606" s="76" t="s">
        <v>416</v>
      </c>
      <c r="D606" s="58"/>
      <c r="E606" s="58"/>
      <c r="F606" s="59"/>
      <c r="G606" s="57"/>
      <c r="H606" s="58" t="s">
        <v>417</v>
      </c>
      <c r="I606" s="58"/>
      <c r="J606" s="57"/>
    </row>
    <row r="607" spans="2:10" x14ac:dyDescent="0.25">
      <c r="B607" s="60" t="s">
        <v>113</v>
      </c>
      <c r="C607" s="59">
        <v>2000</v>
      </c>
      <c r="D607" s="152">
        <f>C607</f>
        <v>2000</v>
      </c>
      <c r="E607" s="59"/>
      <c r="F607" s="59"/>
      <c r="G607" s="60" t="s">
        <v>183</v>
      </c>
      <c r="H607" s="59" t="s">
        <v>100</v>
      </c>
      <c r="I607" s="152">
        <v>2000</v>
      </c>
      <c r="J607" s="60" t="str">
        <f>B607</f>
        <v>6)</v>
      </c>
    </row>
    <row r="608" spans="2:10" x14ac:dyDescent="0.25">
      <c r="B608" s="60"/>
      <c r="C608" s="59"/>
      <c r="D608" s="153"/>
      <c r="E608" s="59"/>
      <c r="F608" s="59"/>
      <c r="G608" s="60"/>
      <c r="H608" s="59"/>
      <c r="I608" s="153"/>
      <c r="J608" s="60"/>
    </row>
    <row r="609" spans="2:10" x14ac:dyDescent="0.25">
      <c r="B609" s="60"/>
      <c r="C609" s="59"/>
      <c r="D609" s="153"/>
      <c r="E609" s="59"/>
      <c r="F609" s="59"/>
      <c r="G609" s="60"/>
      <c r="H609" s="59"/>
      <c r="I609" s="153"/>
      <c r="J609" s="60"/>
    </row>
    <row r="610" spans="2:10" x14ac:dyDescent="0.25">
      <c r="B610" s="60"/>
      <c r="C610" s="59"/>
      <c r="D610" s="153"/>
      <c r="E610" s="59"/>
      <c r="F610" s="59"/>
      <c r="G610" s="60"/>
      <c r="H610" s="59"/>
      <c r="I610" s="153"/>
      <c r="J610" s="60"/>
    </row>
    <row r="611" spans="2:10" x14ac:dyDescent="0.25">
      <c r="B611" s="60"/>
      <c r="C611" s="59"/>
      <c r="D611" s="153"/>
      <c r="E611" s="59"/>
      <c r="F611" s="59"/>
      <c r="G611" s="60"/>
      <c r="H611" s="59"/>
      <c r="I611" s="153"/>
      <c r="J611" s="60"/>
    </row>
    <row r="612" spans="2:10" x14ac:dyDescent="0.25">
      <c r="B612" s="60"/>
      <c r="C612" s="59"/>
      <c r="D612" s="153"/>
      <c r="E612" s="59"/>
      <c r="F612" s="59"/>
      <c r="G612" s="60"/>
      <c r="H612" s="59"/>
      <c r="I612" s="153"/>
      <c r="J612" s="60"/>
    </row>
    <row r="614" spans="2:10" x14ac:dyDescent="0.25">
      <c r="B614" s="57"/>
      <c r="C614" s="76" t="s">
        <v>217</v>
      </c>
      <c r="D614" s="58"/>
      <c r="E614" s="58"/>
      <c r="F614" s="59"/>
      <c r="G614" s="57"/>
      <c r="H614" s="76" t="s">
        <v>418</v>
      </c>
      <c r="I614" s="58"/>
      <c r="J614" s="57"/>
    </row>
    <row r="615" spans="2:10" x14ac:dyDescent="0.25">
      <c r="B615" s="60"/>
      <c r="C615" s="59">
        <f>D615+D616</f>
        <v>26500</v>
      </c>
      <c r="D615" s="152">
        <v>1500</v>
      </c>
      <c r="E615" s="59" t="s">
        <v>144</v>
      </c>
      <c r="F615" s="59"/>
      <c r="G615" s="60" t="s">
        <v>214</v>
      </c>
      <c r="H615" s="59">
        <v>10000</v>
      </c>
      <c r="I615" s="152">
        <f>H615</f>
        <v>10000</v>
      </c>
      <c r="J615" s="60"/>
    </row>
    <row r="616" spans="2:10" x14ac:dyDescent="0.25">
      <c r="B616" s="60"/>
      <c r="C616" s="59"/>
      <c r="D616" s="6">
        <v>25000</v>
      </c>
      <c r="E616" s="26" t="s">
        <v>429</v>
      </c>
      <c r="F616" s="59"/>
      <c r="G616" s="60"/>
      <c r="H616" s="59"/>
      <c r="I616" s="153"/>
      <c r="J616" s="60"/>
    </row>
    <row r="617" spans="2:10" x14ac:dyDescent="0.25">
      <c r="B617" s="60"/>
      <c r="C617" s="59"/>
      <c r="D617" s="153"/>
      <c r="E617" s="59"/>
      <c r="F617" s="59"/>
      <c r="G617" s="60"/>
      <c r="H617" s="59"/>
      <c r="I617" s="153"/>
      <c r="J617" s="60"/>
    </row>
    <row r="618" spans="2:10" x14ac:dyDescent="0.25">
      <c r="B618" s="60"/>
      <c r="C618" s="59"/>
      <c r="D618" s="153"/>
      <c r="E618" s="59"/>
      <c r="F618" s="59"/>
      <c r="G618" s="60"/>
      <c r="H618" s="59"/>
      <c r="I618" s="153"/>
      <c r="J618" s="60"/>
    </row>
    <row r="619" spans="2:10" x14ac:dyDescent="0.25">
      <c r="B619" s="60"/>
      <c r="C619" s="59"/>
      <c r="D619" s="153"/>
      <c r="E619" s="59"/>
      <c r="F619" s="59"/>
      <c r="G619" s="60"/>
      <c r="H619" s="59"/>
      <c r="I619" s="153"/>
      <c r="J619" s="60"/>
    </row>
    <row r="620" spans="2:10" x14ac:dyDescent="0.25">
      <c r="B620" s="60"/>
      <c r="C620" s="59"/>
      <c r="D620" s="153"/>
      <c r="E620" s="59"/>
      <c r="F620" s="59"/>
      <c r="G620" s="60"/>
      <c r="H620" s="59"/>
      <c r="I620" s="153"/>
      <c r="J620" s="60"/>
    </row>
    <row r="621" spans="2:10" x14ac:dyDescent="0.25">
      <c r="B621" s="57"/>
      <c r="C621" s="76" t="s">
        <v>428</v>
      </c>
      <c r="D621" s="58"/>
      <c r="E621" s="58"/>
      <c r="F621" s="59"/>
      <c r="G621" s="57"/>
      <c r="H621" s="58" t="s">
        <v>6</v>
      </c>
      <c r="I621" s="58"/>
      <c r="J621" s="57"/>
    </row>
    <row r="622" spans="2:10" x14ac:dyDescent="0.25">
      <c r="C622" s="1">
        <f>D622</f>
        <v>12000</v>
      </c>
      <c r="D622" s="5">
        <v>12000</v>
      </c>
      <c r="E622" s="26" t="s">
        <v>270</v>
      </c>
      <c r="F622" s="59"/>
      <c r="G622" s="60" t="str">
        <f>E622</f>
        <v>9)</v>
      </c>
      <c r="H622" s="59">
        <f>D622</f>
        <v>12000</v>
      </c>
      <c r="I622" s="152">
        <f>H622</f>
        <v>12000</v>
      </c>
      <c r="J622" s="60"/>
    </row>
    <row r="623" spans="2:10" x14ac:dyDescent="0.25">
      <c r="B623" s="60"/>
      <c r="C623" s="59"/>
      <c r="D623" s="153"/>
      <c r="E623" s="59"/>
      <c r="F623" s="59"/>
      <c r="G623" s="60" t="str">
        <f>E616</f>
        <v>10)</v>
      </c>
      <c r="H623" s="59">
        <f>D616</f>
        <v>25000</v>
      </c>
      <c r="I623" s="153"/>
      <c r="J623" s="60"/>
    </row>
    <row r="624" spans="2:10" x14ac:dyDescent="0.25">
      <c r="B624" s="60"/>
      <c r="C624" s="59"/>
      <c r="D624" s="153"/>
      <c r="E624" s="59"/>
      <c r="F624" s="59"/>
      <c r="G624" s="60"/>
      <c r="H624" s="59"/>
      <c r="I624" s="153"/>
      <c r="J624" s="60"/>
    </row>
    <row r="625" spans="2:10" x14ac:dyDescent="0.25">
      <c r="B625" s="60"/>
      <c r="C625" s="59"/>
      <c r="D625" s="153"/>
      <c r="E625" s="59"/>
      <c r="F625" s="59"/>
      <c r="G625" s="60"/>
      <c r="H625" s="59"/>
      <c r="I625" s="153"/>
      <c r="J625" s="60"/>
    </row>
    <row r="626" spans="2:10" x14ac:dyDescent="0.25">
      <c r="B626" s="60"/>
      <c r="C626" s="59"/>
      <c r="D626" s="153"/>
      <c r="E626" s="59"/>
      <c r="F626" s="59"/>
      <c r="G626" s="60"/>
      <c r="H626" s="59"/>
      <c r="I626" s="153"/>
      <c r="J626" s="60"/>
    </row>
    <row r="627" spans="2:10" x14ac:dyDescent="0.25">
      <c r="B627" s="60"/>
      <c r="C627" s="59"/>
      <c r="D627" s="153"/>
      <c r="E627" s="59"/>
      <c r="F627" s="59"/>
      <c r="G627" s="60"/>
      <c r="H627" s="59"/>
      <c r="I627" s="153"/>
      <c r="J627" s="60"/>
    </row>
    <row r="628" spans="2:10" x14ac:dyDescent="0.25">
      <c r="B628" s="60"/>
      <c r="C628" s="59"/>
      <c r="D628" s="153"/>
      <c r="E628" s="60"/>
      <c r="F628" s="59"/>
      <c r="G628" s="59"/>
      <c r="H628" s="59"/>
      <c r="I628" s="59"/>
      <c r="J628" s="60"/>
    </row>
    <row r="630" spans="2:10" x14ac:dyDescent="0.25">
      <c r="B630" s="28"/>
      <c r="C630" s="4" t="s">
        <v>430</v>
      </c>
      <c r="D630" s="4"/>
      <c r="E630" s="28"/>
      <c r="G630" s="4"/>
      <c r="H630" s="4" t="s">
        <v>433</v>
      </c>
      <c r="I630" s="4"/>
      <c r="J630" s="28"/>
    </row>
    <row r="631" spans="2:10" x14ac:dyDescent="0.25">
      <c r="C631" s="1">
        <f>D583</f>
        <v>3000</v>
      </c>
      <c r="D631" s="5">
        <f>C567</f>
        <v>5000</v>
      </c>
      <c r="E631" s="26"/>
      <c r="I631" s="34">
        <f>D635</f>
        <v>31900</v>
      </c>
    </row>
    <row r="632" spans="2:10" x14ac:dyDescent="0.25">
      <c r="C632" s="1">
        <f>I583</f>
        <v>100</v>
      </c>
      <c r="D632" s="6">
        <f>H599</f>
        <v>4000</v>
      </c>
      <c r="E632" s="26"/>
      <c r="I632" s="6"/>
    </row>
    <row r="633" spans="2:10" x14ac:dyDescent="0.25">
      <c r="C633" s="1">
        <f>D599</f>
        <v>500</v>
      </c>
      <c r="D633" s="6">
        <f>C615</f>
        <v>26500</v>
      </c>
      <c r="E633" s="26"/>
      <c r="I633" s="6"/>
    </row>
    <row r="634" spans="2:10" x14ac:dyDescent="0.25">
      <c r="C634" s="1">
        <f>D607</f>
        <v>2000</v>
      </c>
      <c r="D634" s="6">
        <f>C622</f>
        <v>12000</v>
      </c>
      <c r="E634" s="26"/>
      <c r="I634" s="6"/>
    </row>
    <row r="635" spans="2:10" x14ac:dyDescent="0.25">
      <c r="B635" s="28"/>
      <c r="C635" s="4">
        <f>I615</f>
        <v>10000</v>
      </c>
      <c r="D635" s="154">
        <f>SUM(D631:D634)-SUM(C631:C635)</f>
        <v>31900</v>
      </c>
      <c r="E635" s="28"/>
      <c r="I635" s="6"/>
    </row>
    <row r="636" spans="2:10" x14ac:dyDescent="0.25">
      <c r="D636" s="5"/>
      <c r="E636" s="26"/>
    </row>
    <row r="637" spans="2:10" x14ac:dyDescent="0.25">
      <c r="D637" s="6"/>
      <c r="E637" s="26"/>
    </row>
    <row r="638" spans="2:10" x14ac:dyDescent="0.25">
      <c r="C638" s="1" t="s">
        <v>432</v>
      </c>
      <c r="E638" s="26"/>
    </row>
    <row r="640" spans="2:10" x14ac:dyDescent="0.25">
      <c r="C640" s="27" t="s">
        <v>447</v>
      </c>
    </row>
    <row r="641" spans="3:9" x14ac:dyDescent="0.25">
      <c r="C641" s="159" t="s">
        <v>448</v>
      </c>
      <c r="D641" s="14"/>
      <c r="E641" s="14"/>
      <c r="F641" s="14"/>
      <c r="G641" s="14"/>
      <c r="H641" s="14"/>
    </row>
    <row r="642" spans="3:9" x14ac:dyDescent="0.25">
      <c r="C642" s="23" t="s">
        <v>449</v>
      </c>
      <c r="D642" s="4"/>
      <c r="E642" s="4"/>
      <c r="F642" s="4"/>
      <c r="G642" s="4"/>
      <c r="H642" s="4"/>
    </row>
    <row r="643" spans="3:9" x14ac:dyDescent="0.25">
      <c r="C643" s="168" t="s">
        <v>450</v>
      </c>
      <c r="D643" s="168"/>
      <c r="E643" s="168"/>
      <c r="F643" s="168"/>
      <c r="G643" s="168"/>
      <c r="H643" s="168"/>
      <c r="I643" s="158"/>
    </row>
    <row r="644" spans="3:9" x14ac:dyDescent="0.25">
      <c r="C644" s="169" t="s">
        <v>451</v>
      </c>
      <c r="D644" s="169"/>
      <c r="E644" s="169"/>
      <c r="F644" s="169"/>
      <c r="G644" s="169"/>
      <c r="H644" s="169"/>
      <c r="I644" s="158"/>
    </row>
    <row r="645" spans="3:9" x14ac:dyDescent="0.25">
      <c r="C645" s="169" t="s">
        <v>452</v>
      </c>
      <c r="D645" s="170"/>
      <c r="E645" s="170"/>
      <c r="F645" s="170"/>
      <c r="G645" s="170"/>
      <c r="H645" s="170"/>
      <c r="I645" s="158"/>
    </row>
    <row r="646" spans="3:9" x14ac:dyDescent="0.25">
      <c r="C646" s="169" t="s">
        <v>453</v>
      </c>
      <c r="D646" s="170"/>
      <c r="E646" s="170"/>
      <c r="F646" s="170"/>
      <c r="G646" s="170"/>
      <c r="H646" s="170"/>
      <c r="I646" s="158"/>
    </row>
    <row r="647" spans="3:9" x14ac:dyDescent="0.25">
      <c r="C647" s="169" t="s">
        <v>454</v>
      </c>
      <c r="D647" s="170"/>
      <c r="E647" s="170"/>
      <c r="F647" s="170"/>
      <c r="G647" s="170"/>
      <c r="H647" s="170"/>
      <c r="I647" s="158"/>
    </row>
    <row r="648" spans="3:9" x14ac:dyDescent="0.25">
      <c r="C648" s="169" t="s">
        <v>455</v>
      </c>
      <c r="D648" s="170"/>
      <c r="E648" s="170"/>
      <c r="F648" s="170"/>
      <c r="G648" s="170"/>
      <c r="H648" s="170"/>
      <c r="I648" s="158"/>
    </row>
    <row r="649" spans="3:9" x14ac:dyDescent="0.25">
      <c r="C649" s="169" t="s">
        <v>456</v>
      </c>
      <c r="D649" s="170"/>
      <c r="E649" s="170"/>
      <c r="F649" s="170"/>
      <c r="G649" s="170"/>
      <c r="H649" s="170"/>
      <c r="I649" s="158"/>
    </row>
    <row r="650" spans="3:9" x14ac:dyDescent="0.25">
      <c r="C650" s="169" t="s">
        <v>457</v>
      </c>
      <c r="D650" s="170"/>
      <c r="E650" s="170"/>
      <c r="F650" s="170"/>
      <c r="G650" s="170"/>
      <c r="H650" s="170"/>
      <c r="I650" s="158"/>
    </row>
    <row r="651" spans="3:9" x14ac:dyDescent="0.25">
      <c r="C651" s="169" t="s">
        <v>458</v>
      </c>
      <c r="D651" s="170"/>
      <c r="E651" s="170"/>
      <c r="F651" s="170"/>
      <c r="G651" s="170"/>
      <c r="H651" s="170"/>
      <c r="I651" s="158"/>
    </row>
    <row r="652" spans="3:9" x14ac:dyDescent="0.25">
      <c r="C652" s="169" t="s">
        <v>459</v>
      </c>
      <c r="D652" s="170"/>
      <c r="E652" s="170"/>
      <c r="F652" s="170"/>
      <c r="G652" s="170"/>
      <c r="H652" s="170"/>
      <c r="I652" s="158"/>
    </row>
    <row r="653" spans="3:9" x14ac:dyDescent="0.25">
      <c r="C653" s="169" t="s">
        <v>460</v>
      </c>
      <c r="D653" s="170"/>
      <c r="E653" s="170"/>
      <c r="F653" s="170"/>
      <c r="G653" s="170"/>
      <c r="H653" s="170"/>
      <c r="I653" s="158"/>
    </row>
    <row r="654" spans="3:9" x14ac:dyDescent="0.25">
      <c r="C654" s="169" t="s">
        <v>461</v>
      </c>
      <c r="D654" s="170"/>
      <c r="E654" s="170"/>
      <c r="F654" s="170"/>
      <c r="G654" s="170"/>
      <c r="H654" s="170"/>
      <c r="I654" s="158"/>
    </row>
    <row r="655" spans="3:9" x14ac:dyDescent="0.25">
      <c r="C655" s="169" t="s">
        <v>462</v>
      </c>
      <c r="D655" s="170"/>
      <c r="E655" s="170"/>
      <c r="F655" s="170"/>
      <c r="G655" s="170"/>
      <c r="H655" s="170"/>
      <c r="I655" s="158"/>
    </row>
    <row r="656" spans="3:9" x14ac:dyDescent="0.25">
      <c r="C656" s="169" t="s">
        <v>463</v>
      </c>
      <c r="D656" s="170"/>
      <c r="E656" s="170"/>
      <c r="F656" s="170"/>
      <c r="G656" s="170"/>
      <c r="H656" s="170"/>
      <c r="I656" s="158"/>
    </row>
    <row r="657" spans="3:9" x14ac:dyDescent="0.25">
      <c r="C657" s="169" t="s">
        <v>464</v>
      </c>
      <c r="D657" s="170"/>
      <c r="E657" s="170"/>
      <c r="F657" s="170"/>
      <c r="G657" s="170"/>
      <c r="H657" s="170"/>
      <c r="I657" s="158"/>
    </row>
    <row r="658" spans="3:9" x14ac:dyDescent="0.25">
      <c r="C658" s="169" t="s">
        <v>465</v>
      </c>
      <c r="D658" s="170"/>
      <c r="E658" s="170"/>
      <c r="F658" s="170"/>
      <c r="G658" s="170"/>
      <c r="H658" s="170"/>
      <c r="I658" s="158"/>
    </row>
    <row r="659" spans="3:9" x14ac:dyDescent="0.25">
      <c r="C659" s="169" t="s">
        <v>466</v>
      </c>
      <c r="D659" s="170"/>
      <c r="E659" s="170"/>
      <c r="F659" s="170"/>
      <c r="G659" s="170"/>
      <c r="H659" s="170"/>
      <c r="I659" s="158"/>
    </row>
    <row r="660" spans="3:9" x14ac:dyDescent="0.25">
      <c r="C660" s="169" t="s">
        <v>467</v>
      </c>
      <c r="D660" s="170"/>
      <c r="E660" s="170"/>
      <c r="F660" s="170"/>
      <c r="G660" s="170"/>
      <c r="H660" s="170"/>
      <c r="I660" s="158"/>
    </row>
    <row r="661" spans="3:9" x14ac:dyDescent="0.25">
      <c r="C661" s="169" t="s">
        <v>468</v>
      </c>
      <c r="D661" s="170"/>
      <c r="E661" s="170"/>
      <c r="F661" s="170"/>
      <c r="G661" s="170"/>
      <c r="H661" s="170"/>
      <c r="I661" s="158"/>
    </row>
    <row r="662" spans="3:9" x14ac:dyDescent="0.25">
      <c r="C662" s="169" t="s">
        <v>469</v>
      </c>
      <c r="D662" s="170"/>
      <c r="E662" s="170"/>
      <c r="F662" s="170"/>
      <c r="G662" s="170"/>
      <c r="H662" s="170"/>
      <c r="I662" s="158"/>
    </row>
    <row r="663" spans="3:9" x14ac:dyDescent="0.25">
      <c r="C663" s="169" t="s">
        <v>470</v>
      </c>
      <c r="D663" s="170"/>
      <c r="E663" s="170"/>
      <c r="F663" s="170"/>
      <c r="G663" s="170"/>
      <c r="H663" s="170"/>
      <c r="I663" s="158"/>
    </row>
    <row r="664" spans="3:9" x14ac:dyDescent="0.25">
      <c r="C664" s="169" t="s">
        <v>471</v>
      </c>
      <c r="D664" s="170"/>
      <c r="E664" s="170"/>
      <c r="F664" s="170"/>
      <c r="G664" s="170"/>
      <c r="H664" s="170"/>
      <c r="I664" s="158"/>
    </row>
    <row r="665" spans="3:9" x14ac:dyDescent="0.25">
      <c r="C665" s="169" t="s">
        <v>472</v>
      </c>
      <c r="D665" s="170"/>
      <c r="E665" s="170"/>
      <c r="F665" s="170"/>
      <c r="G665" s="170"/>
      <c r="H665" s="170"/>
      <c r="I665" s="158"/>
    </row>
    <row r="666" spans="3:9" x14ac:dyDescent="0.25">
      <c r="C666" s="169" t="s">
        <v>473</v>
      </c>
      <c r="D666" s="170"/>
      <c r="E666" s="170"/>
      <c r="F666" s="170"/>
      <c r="G666" s="170"/>
      <c r="H666" s="170"/>
      <c r="I666" s="158"/>
    </row>
    <row r="667" spans="3:9" x14ac:dyDescent="0.25">
      <c r="C667" s="169" t="s">
        <v>474</v>
      </c>
      <c r="D667" s="170"/>
      <c r="E667" s="170"/>
      <c r="F667" s="170"/>
      <c r="G667" s="170"/>
      <c r="H667" s="170"/>
      <c r="I667" s="158"/>
    </row>
    <row r="668" spans="3:9" x14ac:dyDescent="0.25">
      <c r="C668" s="169" t="s">
        <v>475</v>
      </c>
      <c r="D668" s="170"/>
      <c r="E668" s="170"/>
      <c r="F668" s="170"/>
      <c r="G668" s="170"/>
      <c r="H668" s="170"/>
      <c r="I668" s="158"/>
    </row>
    <row r="669" spans="3:9" x14ac:dyDescent="0.25">
      <c r="C669" s="169" t="s">
        <v>476</v>
      </c>
      <c r="D669" s="170"/>
      <c r="E669" s="170"/>
      <c r="F669" s="170"/>
      <c r="G669" s="170"/>
      <c r="H669" s="170"/>
      <c r="I669" s="158"/>
    </row>
    <row r="670" spans="3:9" x14ac:dyDescent="0.25">
      <c r="C670" s="169" t="s">
        <v>475</v>
      </c>
      <c r="D670" s="170"/>
      <c r="E670" s="170"/>
      <c r="F670" s="170"/>
      <c r="G670" s="170"/>
      <c r="H670" s="170"/>
      <c r="I670" s="158"/>
    </row>
    <row r="671" spans="3:9" x14ac:dyDescent="0.25">
      <c r="C671" s="169" t="s">
        <v>477</v>
      </c>
      <c r="D671" s="170"/>
      <c r="E671" s="170"/>
      <c r="F671" s="170"/>
      <c r="G671" s="170"/>
      <c r="H671" s="170"/>
      <c r="I671" s="158"/>
    </row>
    <row r="672" spans="3:9" x14ac:dyDescent="0.25">
      <c r="C672" s="169" t="s">
        <v>451</v>
      </c>
      <c r="D672" s="170"/>
      <c r="E672" s="170"/>
      <c r="F672" s="170"/>
      <c r="G672" s="170"/>
      <c r="H672" s="170"/>
      <c r="I672" s="158"/>
    </row>
    <row r="673" spans="3:9" x14ac:dyDescent="0.25">
      <c r="C673" s="169" t="s">
        <v>478</v>
      </c>
      <c r="D673" s="170"/>
      <c r="E673" s="170"/>
      <c r="F673" s="170"/>
      <c r="G673" s="170"/>
      <c r="H673" s="170"/>
      <c r="I673" s="158"/>
    </row>
    <row r="674" spans="3:9" x14ac:dyDescent="0.25">
      <c r="C674" s="169" t="s">
        <v>479</v>
      </c>
      <c r="D674" s="170"/>
      <c r="E674" s="170"/>
      <c r="F674" s="170"/>
      <c r="G674" s="170"/>
      <c r="H674" s="170"/>
      <c r="I674" s="158"/>
    </row>
    <row r="675" spans="3:9" x14ac:dyDescent="0.25">
      <c r="C675" s="169" t="s">
        <v>480</v>
      </c>
      <c r="D675" s="170"/>
      <c r="E675" s="170"/>
      <c r="F675" s="170"/>
      <c r="G675" s="170"/>
      <c r="H675" s="170"/>
      <c r="I675" s="158"/>
    </row>
    <row r="676" spans="3:9" x14ac:dyDescent="0.25">
      <c r="C676" s="169" t="s">
        <v>481</v>
      </c>
      <c r="D676" s="170"/>
      <c r="E676" s="170"/>
      <c r="F676" s="170"/>
      <c r="G676" s="170"/>
      <c r="H676" s="170"/>
      <c r="I676" s="158"/>
    </row>
    <row r="677" spans="3:9" x14ac:dyDescent="0.25">
      <c r="C677" s="169" t="s">
        <v>482</v>
      </c>
      <c r="D677" s="170"/>
      <c r="E677" s="170"/>
      <c r="F677" s="170"/>
      <c r="G677" s="170"/>
      <c r="H677" s="170"/>
      <c r="I677" s="158"/>
    </row>
    <row r="678" spans="3:9" x14ac:dyDescent="0.25">
      <c r="C678" s="169" t="s">
        <v>483</v>
      </c>
      <c r="D678" s="170"/>
      <c r="E678" s="170"/>
      <c r="F678" s="170"/>
      <c r="G678" s="170"/>
      <c r="H678" s="170"/>
      <c r="I678" s="158"/>
    </row>
    <row r="679" spans="3:9" x14ac:dyDescent="0.25">
      <c r="C679" s="169" t="s">
        <v>484</v>
      </c>
      <c r="D679" s="170"/>
      <c r="E679" s="170"/>
      <c r="F679" s="170"/>
      <c r="G679" s="170"/>
      <c r="H679" s="170"/>
      <c r="I679" s="158"/>
    </row>
    <row r="680" spans="3:9" x14ac:dyDescent="0.25">
      <c r="C680" s="169" t="s">
        <v>485</v>
      </c>
      <c r="D680" s="170"/>
      <c r="E680" s="170"/>
      <c r="F680" s="170"/>
      <c r="G680" s="170"/>
      <c r="H680" s="170"/>
      <c r="I680" s="158"/>
    </row>
    <row r="681" spans="3:9" x14ac:dyDescent="0.25">
      <c r="C681" s="169" t="s">
        <v>479</v>
      </c>
      <c r="D681" s="170"/>
      <c r="E681" s="170"/>
      <c r="F681" s="170"/>
      <c r="G681" s="170"/>
      <c r="H681" s="170"/>
      <c r="I681" s="158"/>
    </row>
    <row r="682" spans="3:9" x14ac:dyDescent="0.25">
      <c r="C682" s="169" t="s">
        <v>486</v>
      </c>
      <c r="D682" s="170"/>
      <c r="E682" s="170"/>
      <c r="F682" s="170"/>
      <c r="G682" s="170"/>
      <c r="H682" s="170"/>
      <c r="I682" s="158"/>
    </row>
    <row r="683" spans="3:9" x14ac:dyDescent="0.25">
      <c r="C683" s="169" t="s">
        <v>487</v>
      </c>
      <c r="D683" s="170"/>
      <c r="E683" s="170"/>
      <c r="F683" s="170"/>
      <c r="G683" s="170"/>
      <c r="H683" s="170"/>
      <c r="I683" s="158"/>
    </row>
    <row r="684" spans="3:9" x14ac:dyDescent="0.25">
      <c r="C684" s="169" t="s">
        <v>488</v>
      </c>
      <c r="D684" s="170"/>
      <c r="E684" s="170"/>
      <c r="F684" s="170"/>
      <c r="G684" s="170"/>
      <c r="H684" s="170"/>
      <c r="I684" s="158"/>
    </row>
    <row r="685" spans="3:9" x14ac:dyDescent="0.25">
      <c r="C685" s="169" t="s">
        <v>489</v>
      </c>
      <c r="D685" s="170"/>
      <c r="E685" s="170"/>
      <c r="F685" s="170"/>
      <c r="G685" s="170"/>
      <c r="H685" s="170"/>
      <c r="I685" s="158"/>
    </row>
    <row r="686" spans="3:9" x14ac:dyDescent="0.25">
      <c r="C686" s="169" t="s">
        <v>490</v>
      </c>
      <c r="D686" s="170"/>
      <c r="E686" s="170"/>
      <c r="F686" s="170"/>
      <c r="G686" s="170"/>
      <c r="H686" s="170"/>
      <c r="I686" s="158"/>
    </row>
    <row r="687" spans="3:9" x14ac:dyDescent="0.25">
      <c r="C687" s="171" t="s">
        <v>491</v>
      </c>
      <c r="D687" s="172"/>
      <c r="E687" s="172"/>
      <c r="F687" s="172"/>
      <c r="G687" s="172"/>
      <c r="H687" s="172"/>
      <c r="I687" s="158"/>
    </row>
    <row r="688" spans="3:9" x14ac:dyDescent="0.25">
      <c r="C688" s="5"/>
      <c r="D688" s="12"/>
      <c r="E688" s="12"/>
      <c r="F688" s="12"/>
      <c r="G688" s="12"/>
      <c r="H688" s="13"/>
    </row>
    <row r="689" spans="3:9" x14ac:dyDescent="0.25">
      <c r="C689" s="22" t="s">
        <v>492</v>
      </c>
      <c r="D689" s="4"/>
      <c r="E689" s="4"/>
      <c r="F689" s="4"/>
      <c r="G689" s="4"/>
      <c r="H689" s="16"/>
    </row>
    <row r="690" spans="3:9" x14ac:dyDescent="0.25">
      <c r="C690" s="168" t="s">
        <v>493</v>
      </c>
      <c r="D690" s="168"/>
      <c r="E690" s="168"/>
      <c r="F690" s="168"/>
      <c r="G690" s="168"/>
      <c r="H690" s="168"/>
      <c r="I690" s="158">
        <f>I692+I693+I694+I695</f>
        <v>5000</v>
      </c>
    </row>
    <row r="691" spans="3:9" x14ac:dyDescent="0.25">
      <c r="C691" s="169" t="s">
        <v>451</v>
      </c>
      <c r="D691" s="170"/>
      <c r="E691" s="170"/>
      <c r="F691" s="170"/>
      <c r="G691" s="170"/>
      <c r="H691" s="170"/>
      <c r="I691" s="158">
        <v>0</v>
      </c>
    </row>
    <row r="692" spans="3:9" x14ac:dyDescent="0.25">
      <c r="C692" s="169" t="s">
        <v>452</v>
      </c>
      <c r="D692" s="170"/>
      <c r="E692" s="170"/>
      <c r="F692" s="170"/>
      <c r="G692" s="170"/>
      <c r="H692" s="170"/>
      <c r="I692" s="158">
        <v>0</v>
      </c>
    </row>
    <row r="693" spans="3:9" ht="29.25" customHeight="1" x14ac:dyDescent="0.25">
      <c r="C693" s="173" t="s">
        <v>494</v>
      </c>
      <c r="D693" s="174"/>
      <c r="E693" s="174"/>
      <c r="F693" s="174"/>
      <c r="G693" s="174"/>
      <c r="H693" s="174"/>
      <c r="I693" s="158">
        <v>0</v>
      </c>
    </row>
    <row r="694" spans="3:9" x14ac:dyDescent="0.25">
      <c r="C694" s="169" t="s">
        <v>495</v>
      </c>
      <c r="D694" s="169"/>
      <c r="E694" s="169"/>
      <c r="F694" s="169"/>
      <c r="G694" s="169"/>
      <c r="H694" s="169"/>
      <c r="I694" s="158">
        <v>0</v>
      </c>
    </row>
    <row r="695" spans="3:9" x14ac:dyDescent="0.25">
      <c r="C695" s="169" t="s">
        <v>496</v>
      </c>
      <c r="D695" s="170"/>
      <c r="E695" s="170"/>
      <c r="F695" s="170"/>
      <c r="G695" s="170"/>
      <c r="H695" s="170"/>
      <c r="I695" s="158">
        <f>D567</f>
        <v>5000</v>
      </c>
    </row>
    <row r="696" spans="3:9" x14ac:dyDescent="0.25">
      <c r="C696" s="169" t="s">
        <v>497</v>
      </c>
      <c r="D696" s="170"/>
      <c r="E696" s="170"/>
      <c r="F696" s="170"/>
      <c r="G696" s="170"/>
      <c r="H696" s="170"/>
      <c r="I696" s="158">
        <f>SUM(I697:I706)</f>
        <v>3600</v>
      </c>
    </row>
    <row r="697" spans="3:9" x14ac:dyDescent="0.25">
      <c r="C697" s="169" t="s">
        <v>498</v>
      </c>
      <c r="D697" s="170"/>
      <c r="E697" s="170"/>
      <c r="F697" s="170"/>
      <c r="G697" s="170"/>
      <c r="H697" s="170"/>
      <c r="I697" s="158">
        <v>0</v>
      </c>
    </row>
    <row r="698" spans="3:9" x14ac:dyDescent="0.25">
      <c r="C698" s="169" t="s">
        <v>499</v>
      </c>
      <c r="D698" s="170"/>
      <c r="E698" s="170"/>
      <c r="F698" s="170"/>
      <c r="G698" s="170"/>
      <c r="H698" s="170"/>
      <c r="I698" s="158">
        <f>C599</f>
        <v>500</v>
      </c>
    </row>
    <row r="699" spans="3:9" x14ac:dyDescent="0.25">
      <c r="C699" s="169" t="s">
        <v>500</v>
      </c>
      <c r="D699" s="170"/>
      <c r="E699" s="170"/>
      <c r="F699" s="170"/>
      <c r="G699" s="170"/>
      <c r="H699" s="170"/>
      <c r="I699" s="158">
        <f>H583</f>
        <v>100</v>
      </c>
    </row>
    <row r="700" spans="3:9" x14ac:dyDescent="0.25">
      <c r="C700" s="169" t="s">
        <v>501</v>
      </c>
      <c r="D700" s="170"/>
      <c r="E700" s="170"/>
      <c r="F700" s="170"/>
      <c r="G700" s="170"/>
      <c r="H700" s="170"/>
      <c r="I700" s="158">
        <v>0</v>
      </c>
    </row>
    <row r="701" spans="3:9" x14ac:dyDescent="0.25">
      <c r="C701" s="169" t="s">
        <v>502</v>
      </c>
      <c r="D701" s="170"/>
      <c r="E701" s="170"/>
      <c r="F701" s="170"/>
      <c r="G701" s="170"/>
      <c r="H701" s="170"/>
      <c r="I701" s="158">
        <v>0</v>
      </c>
    </row>
    <row r="702" spans="3:9" x14ac:dyDescent="0.25">
      <c r="C702" s="169" t="s">
        <v>503</v>
      </c>
      <c r="D702" s="170"/>
      <c r="E702" s="170"/>
      <c r="F702" s="170"/>
      <c r="G702" s="170"/>
      <c r="H702" s="170"/>
      <c r="I702" s="158">
        <v>0</v>
      </c>
    </row>
    <row r="703" spans="3:9" x14ac:dyDescent="0.25">
      <c r="C703" s="169" t="s">
        <v>504</v>
      </c>
      <c r="D703" s="170"/>
      <c r="E703" s="170"/>
      <c r="F703" s="170"/>
      <c r="G703" s="170"/>
      <c r="H703" s="170"/>
      <c r="I703" s="158">
        <v>0</v>
      </c>
    </row>
    <row r="704" spans="3:9" x14ac:dyDescent="0.25">
      <c r="C704" s="169" t="s">
        <v>505</v>
      </c>
      <c r="D704" s="170"/>
      <c r="E704" s="170"/>
      <c r="F704" s="170"/>
      <c r="G704" s="170"/>
      <c r="H704" s="170"/>
      <c r="I704" s="158">
        <v>0</v>
      </c>
    </row>
    <row r="705" spans="3:9" x14ac:dyDescent="0.25">
      <c r="C705" s="169" t="s">
        <v>506</v>
      </c>
      <c r="D705" s="170"/>
      <c r="E705" s="170"/>
      <c r="F705" s="170"/>
      <c r="G705" s="170"/>
      <c r="H705" s="170"/>
      <c r="I705" s="158">
        <v>0</v>
      </c>
    </row>
    <row r="706" spans="3:9" x14ac:dyDescent="0.25">
      <c r="C706" s="169" t="s">
        <v>507</v>
      </c>
      <c r="D706" s="170"/>
      <c r="E706" s="170"/>
      <c r="F706" s="170"/>
      <c r="G706" s="170"/>
      <c r="H706" s="170"/>
      <c r="I706" s="158">
        <f>C583</f>
        <v>3000</v>
      </c>
    </row>
    <row r="707" spans="3:9" x14ac:dyDescent="0.25">
      <c r="C707" s="169" t="s">
        <v>508</v>
      </c>
      <c r="D707" s="170"/>
      <c r="E707" s="170"/>
      <c r="F707" s="170"/>
      <c r="G707" s="170"/>
      <c r="H707" s="170"/>
      <c r="I707" s="160">
        <f>I690-I696</f>
        <v>1400</v>
      </c>
    </row>
    <row r="708" spans="3:9" x14ac:dyDescent="0.25">
      <c r="C708" s="169" t="s">
        <v>509</v>
      </c>
      <c r="D708" s="170"/>
      <c r="E708" s="170"/>
      <c r="F708" s="170"/>
      <c r="G708" s="170"/>
      <c r="H708" s="170"/>
      <c r="I708" s="158">
        <f>I709+I710+I711+I712</f>
        <v>14000</v>
      </c>
    </row>
    <row r="709" spans="3:9" x14ac:dyDescent="0.25">
      <c r="C709" s="169" t="s">
        <v>463</v>
      </c>
      <c r="D709" s="170"/>
      <c r="E709" s="170"/>
      <c r="F709" s="170"/>
      <c r="G709" s="170"/>
      <c r="H709" s="170"/>
      <c r="I709" s="162">
        <f>I599-C607</f>
        <v>2000</v>
      </c>
    </row>
    <row r="710" spans="3:9" x14ac:dyDescent="0.25">
      <c r="C710" s="169" t="s">
        <v>464</v>
      </c>
      <c r="D710" s="170"/>
      <c r="E710" s="170"/>
      <c r="F710" s="170"/>
      <c r="G710" s="170"/>
      <c r="H710" s="170"/>
      <c r="I710" s="158">
        <v>0</v>
      </c>
    </row>
    <row r="711" spans="3:9" x14ac:dyDescent="0.25">
      <c r="C711" s="169" t="s">
        <v>465</v>
      </c>
      <c r="D711" s="170"/>
      <c r="E711" s="170"/>
      <c r="F711" s="170"/>
      <c r="G711" s="170"/>
      <c r="H711" s="170"/>
      <c r="I711" s="158">
        <v>0</v>
      </c>
    </row>
    <row r="712" spans="3:9" x14ac:dyDescent="0.25">
      <c r="C712" s="169" t="s">
        <v>466</v>
      </c>
      <c r="D712" s="170"/>
      <c r="E712" s="170"/>
      <c r="F712" s="170"/>
      <c r="G712" s="170"/>
      <c r="H712" s="170"/>
      <c r="I712" s="158">
        <f>D622</f>
        <v>12000</v>
      </c>
    </row>
    <row r="713" spans="3:9" x14ac:dyDescent="0.25">
      <c r="C713" s="169" t="s">
        <v>510</v>
      </c>
      <c r="D713" s="170"/>
      <c r="E713" s="170"/>
      <c r="F713" s="170"/>
      <c r="G713" s="170"/>
      <c r="H713" s="170"/>
      <c r="I713" s="158">
        <f>I714+I715+I716</f>
        <v>10000</v>
      </c>
    </row>
    <row r="714" spans="3:9" x14ac:dyDescent="0.25">
      <c r="C714" s="169" t="s">
        <v>468</v>
      </c>
      <c r="D714" s="170"/>
      <c r="E714" s="170"/>
      <c r="F714" s="170"/>
      <c r="G714" s="170"/>
      <c r="H714" s="170"/>
      <c r="I714" s="158">
        <v>0</v>
      </c>
    </row>
    <row r="715" spans="3:9" x14ac:dyDescent="0.25">
      <c r="C715" s="169" t="s">
        <v>469</v>
      </c>
      <c r="D715" s="170"/>
      <c r="E715" s="170"/>
      <c r="F715" s="170"/>
      <c r="G715" s="170"/>
      <c r="H715" s="170"/>
      <c r="I715" s="158">
        <v>0</v>
      </c>
    </row>
    <row r="716" spans="3:9" x14ac:dyDescent="0.25">
      <c r="C716" s="169" t="s">
        <v>470</v>
      </c>
      <c r="D716" s="170"/>
      <c r="E716" s="170"/>
      <c r="F716" s="170"/>
      <c r="G716" s="170"/>
      <c r="H716" s="170"/>
      <c r="I716" s="158">
        <f>H615</f>
        <v>10000</v>
      </c>
    </row>
    <row r="717" spans="3:9" x14ac:dyDescent="0.25">
      <c r="C717" s="169" t="s">
        <v>511</v>
      </c>
      <c r="D717" s="170"/>
      <c r="E717" s="170"/>
      <c r="F717" s="170"/>
      <c r="G717" s="170"/>
      <c r="H717" s="170"/>
      <c r="I717" s="160">
        <f>I707+I708-I713</f>
        <v>5400</v>
      </c>
    </row>
    <row r="718" spans="3:9" x14ac:dyDescent="0.25">
      <c r="C718" s="169" t="s">
        <v>512</v>
      </c>
      <c r="D718" s="170"/>
      <c r="E718" s="170"/>
      <c r="F718" s="170"/>
      <c r="G718" s="170"/>
      <c r="H718" s="170"/>
      <c r="I718" s="158">
        <f>I719+I724+I726+I728+I729</f>
        <v>26500</v>
      </c>
    </row>
    <row r="719" spans="3:9" x14ac:dyDescent="0.25">
      <c r="C719" s="169" t="s">
        <v>473</v>
      </c>
      <c r="D719" s="170"/>
      <c r="E719" s="170"/>
      <c r="F719" s="170"/>
      <c r="G719" s="170"/>
      <c r="H719" s="170"/>
      <c r="I719" s="158">
        <f>I720+I722</f>
        <v>25000</v>
      </c>
    </row>
    <row r="720" spans="3:9" x14ac:dyDescent="0.25">
      <c r="C720" s="169" t="s">
        <v>474</v>
      </c>
      <c r="D720" s="170"/>
      <c r="E720" s="170"/>
      <c r="F720" s="170"/>
      <c r="G720" s="170"/>
      <c r="H720" s="170"/>
      <c r="I720" s="158">
        <f>I721</f>
        <v>25000</v>
      </c>
    </row>
    <row r="721" spans="3:9" x14ac:dyDescent="0.25">
      <c r="C721" s="169" t="s">
        <v>475</v>
      </c>
      <c r="D721" s="170"/>
      <c r="E721" s="170"/>
      <c r="F721" s="170"/>
      <c r="G721" s="170"/>
      <c r="H721" s="170"/>
      <c r="I721" s="158">
        <f>D616</f>
        <v>25000</v>
      </c>
    </row>
    <row r="722" spans="3:9" x14ac:dyDescent="0.25">
      <c r="C722" s="169" t="s">
        <v>476</v>
      </c>
      <c r="D722" s="170"/>
      <c r="E722" s="170"/>
      <c r="F722" s="170"/>
      <c r="G722" s="170"/>
      <c r="H722" s="170"/>
      <c r="I722" s="158">
        <v>0</v>
      </c>
    </row>
    <row r="723" spans="3:9" x14ac:dyDescent="0.25">
      <c r="C723" s="169" t="s">
        <v>475</v>
      </c>
      <c r="D723" s="170"/>
      <c r="E723" s="170"/>
      <c r="F723" s="170"/>
      <c r="G723" s="170"/>
      <c r="H723" s="170"/>
      <c r="I723" s="158">
        <v>0</v>
      </c>
    </row>
    <row r="724" spans="3:9" x14ac:dyDescent="0.25">
      <c r="C724" s="169" t="s">
        <v>477</v>
      </c>
      <c r="D724" s="170"/>
      <c r="E724" s="170"/>
      <c r="F724" s="170"/>
      <c r="G724" s="170"/>
      <c r="H724" s="170"/>
      <c r="I724" s="158">
        <f>D615</f>
        <v>1500</v>
      </c>
    </row>
    <row r="725" spans="3:9" x14ac:dyDescent="0.25">
      <c r="C725" s="169" t="s">
        <v>451</v>
      </c>
      <c r="D725" s="170"/>
      <c r="E725" s="170"/>
      <c r="F725" s="170"/>
      <c r="G725" s="170"/>
      <c r="H725" s="170"/>
      <c r="I725" s="158">
        <v>0</v>
      </c>
    </row>
    <row r="726" spans="3:9" x14ac:dyDescent="0.25">
      <c r="C726" s="169" t="s">
        <v>478</v>
      </c>
      <c r="D726" s="170"/>
      <c r="E726" s="170"/>
      <c r="F726" s="170"/>
      <c r="G726" s="170"/>
      <c r="H726" s="170"/>
      <c r="I726" s="158">
        <v>0</v>
      </c>
    </row>
    <row r="727" spans="3:9" x14ac:dyDescent="0.25">
      <c r="C727" s="169" t="s">
        <v>479</v>
      </c>
      <c r="D727" s="170"/>
      <c r="E727" s="170"/>
      <c r="F727" s="170"/>
      <c r="G727" s="170"/>
      <c r="H727" s="170"/>
      <c r="I727" s="158">
        <v>0</v>
      </c>
    </row>
    <row r="728" spans="3:9" x14ac:dyDescent="0.25">
      <c r="C728" s="169" t="s">
        <v>480</v>
      </c>
      <c r="D728" s="170"/>
      <c r="E728" s="170"/>
      <c r="F728" s="170"/>
      <c r="G728" s="170"/>
      <c r="H728" s="170"/>
      <c r="I728" s="158">
        <v>0</v>
      </c>
    </row>
    <row r="729" spans="3:9" x14ac:dyDescent="0.25">
      <c r="C729" s="169" t="s">
        <v>481</v>
      </c>
      <c r="D729" s="170"/>
      <c r="E729" s="170"/>
      <c r="F729" s="170"/>
      <c r="G729" s="170"/>
      <c r="H729" s="170"/>
      <c r="I729" s="158">
        <v>0</v>
      </c>
    </row>
    <row r="730" spans="3:9" x14ac:dyDescent="0.25">
      <c r="C730" s="169" t="s">
        <v>513</v>
      </c>
      <c r="D730" s="170"/>
      <c r="E730" s="170"/>
      <c r="F730" s="170"/>
      <c r="G730" s="170"/>
      <c r="H730" s="170"/>
      <c r="I730" s="158">
        <v>0</v>
      </c>
    </row>
    <row r="731" spans="3:9" x14ac:dyDescent="0.25">
      <c r="C731" s="169" t="s">
        <v>483</v>
      </c>
      <c r="D731" s="170"/>
      <c r="E731" s="170"/>
      <c r="F731" s="170"/>
      <c r="G731" s="170"/>
      <c r="H731" s="170"/>
      <c r="I731" s="158">
        <v>0</v>
      </c>
    </row>
    <row r="732" spans="3:9" x14ac:dyDescent="0.25">
      <c r="C732" s="169" t="s">
        <v>484</v>
      </c>
      <c r="D732" s="170"/>
      <c r="E732" s="170"/>
      <c r="F732" s="170"/>
      <c r="G732" s="170"/>
      <c r="H732" s="170"/>
      <c r="I732" s="158">
        <v>0</v>
      </c>
    </row>
    <row r="733" spans="3:9" x14ac:dyDescent="0.25">
      <c r="C733" s="169" t="s">
        <v>485</v>
      </c>
      <c r="D733" s="170"/>
      <c r="E733" s="170"/>
      <c r="F733" s="170"/>
      <c r="G733" s="170"/>
      <c r="H733" s="170"/>
      <c r="I733" s="158">
        <v>0</v>
      </c>
    </row>
    <row r="734" spans="3:9" x14ac:dyDescent="0.25">
      <c r="C734" s="169" t="s">
        <v>479</v>
      </c>
      <c r="D734" s="170"/>
      <c r="E734" s="170"/>
      <c r="F734" s="170"/>
      <c r="G734" s="170"/>
      <c r="H734" s="170"/>
      <c r="I734" s="158">
        <v>0</v>
      </c>
    </row>
    <row r="735" spans="3:9" x14ac:dyDescent="0.25">
      <c r="C735" s="169" t="s">
        <v>486</v>
      </c>
      <c r="D735" s="170"/>
      <c r="E735" s="170"/>
      <c r="F735" s="170"/>
      <c r="G735" s="170"/>
      <c r="H735" s="170"/>
      <c r="I735" s="158">
        <v>0</v>
      </c>
    </row>
    <row r="736" spans="3:9" x14ac:dyDescent="0.25">
      <c r="C736" s="169" t="s">
        <v>487</v>
      </c>
      <c r="D736" s="170"/>
      <c r="E736" s="170"/>
      <c r="F736" s="170"/>
      <c r="G736" s="170"/>
      <c r="H736" s="170"/>
      <c r="I736" s="158">
        <v>0</v>
      </c>
    </row>
    <row r="737" spans="3:12" x14ac:dyDescent="0.25">
      <c r="C737" s="169" t="s">
        <v>514</v>
      </c>
      <c r="D737" s="170"/>
      <c r="E737" s="170"/>
      <c r="F737" s="170"/>
      <c r="G737" s="170"/>
      <c r="H737" s="170"/>
      <c r="I737" s="161">
        <f>I717+I718-I730</f>
        <v>31900</v>
      </c>
    </row>
    <row r="738" spans="3:12" x14ac:dyDescent="0.25">
      <c r="C738" s="169" t="s">
        <v>515</v>
      </c>
      <c r="D738" s="170"/>
      <c r="E738" s="170"/>
      <c r="F738" s="170"/>
      <c r="G738" s="170"/>
      <c r="H738" s="170"/>
      <c r="I738" s="158"/>
    </row>
    <row r="739" spans="3:12" x14ac:dyDescent="0.25">
      <c r="C739" s="169" t="s">
        <v>516</v>
      </c>
      <c r="D739" s="170"/>
      <c r="E739" s="170"/>
      <c r="F739" s="170"/>
      <c r="G739" s="170"/>
      <c r="H739" s="170"/>
      <c r="I739" s="158"/>
    </row>
    <row r="740" spans="3:12" x14ac:dyDescent="0.25">
      <c r="C740" s="169" t="s">
        <v>517</v>
      </c>
      <c r="D740" s="170"/>
      <c r="E740" s="170"/>
      <c r="F740" s="170"/>
      <c r="G740" s="170"/>
      <c r="H740" s="170"/>
      <c r="I740" s="158"/>
    </row>
    <row r="742" spans="3:12" x14ac:dyDescent="0.25">
      <c r="C742" s="27" t="s">
        <v>518</v>
      </c>
    </row>
    <row r="744" spans="3:12" x14ac:dyDescent="0.25">
      <c r="C744" s="1" t="s">
        <v>529</v>
      </c>
      <c r="I744" s="1" t="s">
        <v>530</v>
      </c>
    </row>
    <row r="745" spans="3:12" x14ac:dyDescent="0.25">
      <c r="C745" s="1" t="s">
        <v>519</v>
      </c>
    </row>
    <row r="746" spans="3:12" x14ac:dyDescent="0.25">
      <c r="C746" s="138" t="s">
        <v>520</v>
      </c>
    </row>
    <row r="747" spans="3:12" x14ac:dyDescent="0.25">
      <c r="C747" s="1" t="s">
        <v>521</v>
      </c>
      <c r="I747" s="1" t="s">
        <v>531</v>
      </c>
    </row>
    <row r="748" spans="3:12" x14ac:dyDescent="0.25">
      <c r="C748" s="138" t="s">
        <v>522</v>
      </c>
    </row>
    <row r="749" spans="3:12" x14ac:dyDescent="0.25">
      <c r="C749" s="1" t="s">
        <v>532</v>
      </c>
    </row>
    <row r="750" spans="3:12" x14ac:dyDescent="0.25">
      <c r="C750" s="1" t="s">
        <v>523</v>
      </c>
      <c r="L750" s="1" t="s">
        <v>534</v>
      </c>
    </row>
    <row r="751" spans="3:12" x14ac:dyDescent="0.25">
      <c r="C751" s="138" t="s">
        <v>524</v>
      </c>
    </row>
    <row r="752" spans="3:12" x14ac:dyDescent="0.25">
      <c r="C752" s="138" t="s">
        <v>539</v>
      </c>
    </row>
    <row r="753" spans="3:3" x14ac:dyDescent="0.25">
      <c r="C753" s="163" t="s">
        <v>535</v>
      </c>
    </row>
    <row r="754" spans="3:3" x14ac:dyDescent="0.25">
      <c r="C754" s="163" t="s">
        <v>538</v>
      </c>
    </row>
    <row r="755" spans="3:3" x14ac:dyDescent="0.25">
      <c r="C755" s="163" t="s">
        <v>536</v>
      </c>
    </row>
    <row r="756" spans="3:3" x14ac:dyDescent="0.25">
      <c r="C756" s="163" t="s">
        <v>537</v>
      </c>
    </row>
    <row r="758" spans="3:3" x14ac:dyDescent="0.25">
      <c r="C758" s="1" t="s">
        <v>525</v>
      </c>
    </row>
    <row r="759" spans="3:3" x14ac:dyDescent="0.25">
      <c r="C759" s="1" t="s">
        <v>527</v>
      </c>
    </row>
    <row r="760" spans="3:3" x14ac:dyDescent="0.25">
      <c r="C760" s="1" t="s">
        <v>526</v>
      </c>
    </row>
    <row r="761" spans="3:3" x14ac:dyDescent="0.25">
      <c r="C761" s="1" t="s">
        <v>528</v>
      </c>
    </row>
    <row r="763" spans="3:3" x14ac:dyDescent="0.25">
      <c r="C763" s="1" t="s">
        <v>533</v>
      </c>
    </row>
  </sheetData>
  <mergeCells count="100">
    <mergeCell ref="C737:H737"/>
    <mergeCell ref="C738:H738"/>
    <mergeCell ref="C739:H739"/>
    <mergeCell ref="C740:H740"/>
    <mergeCell ref="C732:H732"/>
    <mergeCell ref="C733:H733"/>
    <mergeCell ref="C734:H734"/>
    <mergeCell ref="C735:H735"/>
    <mergeCell ref="C736:H736"/>
    <mergeCell ref="C727:H727"/>
    <mergeCell ref="C728:H728"/>
    <mergeCell ref="C729:H729"/>
    <mergeCell ref="C730:H730"/>
    <mergeCell ref="C731:H731"/>
    <mergeCell ref="C722:H722"/>
    <mergeCell ref="C723:H723"/>
    <mergeCell ref="C724:H724"/>
    <mergeCell ref="C725:H725"/>
    <mergeCell ref="C726:H726"/>
    <mergeCell ref="C717:H717"/>
    <mergeCell ref="C718:H718"/>
    <mergeCell ref="C719:H719"/>
    <mergeCell ref="C720:H720"/>
    <mergeCell ref="C721:H721"/>
    <mergeCell ref="C712:H712"/>
    <mergeCell ref="C713:H713"/>
    <mergeCell ref="C714:H714"/>
    <mergeCell ref="C715:H715"/>
    <mergeCell ref="C716:H716"/>
    <mergeCell ref="C707:H707"/>
    <mergeCell ref="C708:H708"/>
    <mergeCell ref="C709:H709"/>
    <mergeCell ref="C710:H710"/>
    <mergeCell ref="C711:H711"/>
    <mergeCell ref="C702:H702"/>
    <mergeCell ref="C703:H703"/>
    <mergeCell ref="C704:H704"/>
    <mergeCell ref="C705:H705"/>
    <mergeCell ref="C706:H706"/>
    <mergeCell ref="C697:H697"/>
    <mergeCell ref="C698:H698"/>
    <mergeCell ref="C699:H699"/>
    <mergeCell ref="C700:H700"/>
    <mergeCell ref="C701:H701"/>
    <mergeCell ref="C692:H692"/>
    <mergeCell ref="C693:H693"/>
    <mergeCell ref="C694:H694"/>
    <mergeCell ref="C695:H695"/>
    <mergeCell ref="C696:H696"/>
    <mergeCell ref="C690:H690"/>
    <mergeCell ref="C691:H691"/>
    <mergeCell ref="C684:H684"/>
    <mergeCell ref="C685:H685"/>
    <mergeCell ref="C686:H686"/>
    <mergeCell ref="C687:H687"/>
    <mergeCell ref="C679:H679"/>
    <mergeCell ref="C680:H680"/>
    <mergeCell ref="C681:H681"/>
    <mergeCell ref="C682:H682"/>
    <mergeCell ref="C683:H683"/>
    <mergeCell ref="C674:H674"/>
    <mergeCell ref="C675:H675"/>
    <mergeCell ref="C676:H676"/>
    <mergeCell ref="C677:H677"/>
    <mergeCell ref="C678:H678"/>
    <mergeCell ref="C669:H669"/>
    <mergeCell ref="C670:H670"/>
    <mergeCell ref="C671:H671"/>
    <mergeCell ref="C672:H672"/>
    <mergeCell ref="C673:H673"/>
    <mergeCell ref="C664:H664"/>
    <mergeCell ref="C665:H665"/>
    <mergeCell ref="C666:H666"/>
    <mergeCell ref="C667:H667"/>
    <mergeCell ref="C668:H668"/>
    <mergeCell ref="C659:H659"/>
    <mergeCell ref="C660:H660"/>
    <mergeCell ref="C661:H661"/>
    <mergeCell ref="C662:H662"/>
    <mergeCell ref="C663:H663"/>
    <mergeCell ref="C654:H654"/>
    <mergeCell ref="C655:H655"/>
    <mergeCell ref="C656:H656"/>
    <mergeCell ref="C657:H657"/>
    <mergeCell ref="C658:H658"/>
    <mergeCell ref="C649:H649"/>
    <mergeCell ref="C650:H650"/>
    <mergeCell ref="C651:H651"/>
    <mergeCell ref="C652:H652"/>
    <mergeCell ref="C653:H653"/>
    <mergeCell ref="C644:H644"/>
    <mergeCell ref="C645:H645"/>
    <mergeCell ref="C646:H646"/>
    <mergeCell ref="C647:H647"/>
    <mergeCell ref="C648:H648"/>
    <mergeCell ref="C25:K25"/>
    <mergeCell ref="C64:K64"/>
    <mergeCell ref="C92:K92"/>
    <mergeCell ref="B192:J192"/>
    <mergeCell ref="C643:H64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2:M821"/>
  <sheetViews>
    <sheetView topLeftCell="A789" zoomScale="190" zoomScaleNormal="190" workbookViewId="0">
      <selection activeCell="C790" sqref="C790"/>
    </sheetView>
  </sheetViews>
  <sheetFormatPr defaultRowHeight="15" x14ac:dyDescent="0.25"/>
  <cols>
    <col min="1" max="1" width="3.28515625" style="26" customWidth="1"/>
    <col min="2" max="2" width="15.42578125" style="26" customWidth="1"/>
    <col min="3" max="4" width="12" style="1" bestFit="1" customWidth="1"/>
    <col min="5" max="5" width="8.7109375" style="26" customWidth="1"/>
    <col min="6" max="6" width="12" style="1" bestFit="1" customWidth="1"/>
    <col min="7" max="7" width="3.140625" style="1" customWidth="1"/>
    <col min="8" max="9" width="12" style="1" bestFit="1" customWidth="1"/>
    <col min="10" max="10" width="4.28515625" style="26" customWidth="1"/>
    <col min="11" max="11" width="13.28515625" style="1" customWidth="1"/>
    <col min="12" max="12" width="12" style="1" bestFit="1" customWidth="1"/>
    <col min="13" max="16384" width="9.140625" style="1"/>
  </cols>
  <sheetData>
    <row r="2" spans="2:10" x14ac:dyDescent="0.25">
      <c r="B2" s="27" t="s">
        <v>0</v>
      </c>
      <c r="C2" s="2"/>
    </row>
    <row r="4" spans="2:10" x14ac:dyDescent="0.25">
      <c r="B4" s="28"/>
      <c r="C4" s="4" t="s">
        <v>36</v>
      </c>
      <c r="D4" s="4"/>
      <c r="E4" s="28"/>
      <c r="G4" s="4"/>
      <c r="H4" s="4" t="s">
        <v>4</v>
      </c>
      <c r="I4" s="4"/>
      <c r="J4" s="28"/>
    </row>
    <row r="5" spans="2:10" x14ac:dyDescent="0.25">
      <c r="B5" s="29"/>
      <c r="C5" s="7"/>
      <c r="D5" s="8">
        <f>10000*500</f>
        <v>5000000</v>
      </c>
      <c r="E5" s="29" t="s">
        <v>2</v>
      </c>
      <c r="I5" s="5">
        <f>10000*(600-500)</f>
        <v>1000000</v>
      </c>
      <c r="J5" s="26" t="str">
        <f>E5</f>
        <v>1)</v>
      </c>
    </row>
    <row r="6" spans="2:10" x14ac:dyDescent="0.25">
      <c r="C6" s="1">
        <f>C5</f>
        <v>0</v>
      </c>
      <c r="D6" s="6">
        <f>D5</f>
        <v>5000000</v>
      </c>
      <c r="G6" s="4"/>
      <c r="H6" s="4"/>
      <c r="I6" s="9" t="s">
        <v>37</v>
      </c>
      <c r="J6" s="28"/>
    </row>
    <row r="7" spans="2:10" x14ac:dyDescent="0.25">
      <c r="B7" s="28" t="s">
        <v>10</v>
      </c>
      <c r="C7" s="4">
        <f>D6-C6</f>
        <v>5000000</v>
      </c>
      <c r="D7" s="4" t="s">
        <v>38</v>
      </c>
      <c r="E7" s="28"/>
      <c r="H7" s="1">
        <v>0</v>
      </c>
      <c r="I7" s="6">
        <f>I5</f>
        <v>1000000</v>
      </c>
    </row>
    <row r="8" spans="2:10" ht="17.25" x14ac:dyDescent="0.4">
      <c r="C8" s="10">
        <f>C6+C7</f>
        <v>5000000</v>
      </c>
      <c r="D8" s="11">
        <f>D6</f>
        <v>5000000</v>
      </c>
      <c r="G8" s="4" t="s">
        <v>10</v>
      </c>
      <c r="H8" s="4">
        <f>I7-H7</f>
        <v>1000000</v>
      </c>
      <c r="I8" s="9"/>
      <c r="J8" s="28"/>
    </row>
    <row r="9" spans="2:10" ht="17.25" x14ac:dyDescent="0.4">
      <c r="D9" s="6"/>
      <c r="H9" s="10">
        <f>H7+H8</f>
        <v>1000000</v>
      </c>
      <c r="I9" s="11">
        <f>I7</f>
        <v>1000000</v>
      </c>
    </row>
    <row r="12" spans="2:10" x14ac:dyDescent="0.25">
      <c r="B12" s="28"/>
      <c r="C12" s="4" t="s">
        <v>5</v>
      </c>
      <c r="D12" s="4"/>
      <c r="E12" s="28"/>
      <c r="G12" s="4"/>
      <c r="H12" s="4" t="s">
        <v>6</v>
      </c>
      <c r="I12" s="4"/>
      <c r="J12" s="28"/>
    </row>
    <row r="13" spans="2:10" x14ac:dyDescent="0.25">
      <c r="B13" s="29" t="str">
        <f>E5</f>
        <v>1)</v>
      </c>
      <c r="C13" s="7">
        <f>10000*600</f>
        <v>6000000</v>
      </c>
      <c r="D13" s="8">
        <f>H13</f>
        <v>4500000</v>
      </c>
      <c r="E13" s="29" t="s">
        <v>7</v>
      </c>
      <c r="G13" s="1" t="str">
        <f>E13</f>
        <v>2)</v>
      </c>
      <c r="H13" s="1">
        <f>C13*0.75</f>
        <v>4500000</v>
      </c>
      <c r="I13" s="5"/>
    </row>
    <row r="14" spans="2:10" x14ac:dyDescent="0.25">
      <c r="C14" s="1">
        <f>C13</f>
        <v>6000000</v>
      </c>
      <c r="D14" s="6">
        <f>D13</f>
        <v>4500000</v>
      </c>
      <c r="G14" s="4" t="str">
        <f>E20</f>
        <v>3)</v>
      </c>
      <c r="H14" s="4">
        <f>D20</f>
        <v>10000</v>
      </c>
      <c r="I14" s="9"/>
      <c r="J14" s="28"/>
    </row>
    <row r="15" spans="2:10" x14ac:dyDescent="0.25">
      <c r="D15" s="6">
        <f>C14-D14</f>
        <v>1500000</v>
      </c>
      <c r="E15" s="26" t="s">
        <v>10</v>
      </c>
      <c r="H15" s="1">
        <f>H13+H14</f>
        <v>4510000</v>
      </c>
      <c r="I15" s="6">
        <v>0</v>
      </c>
    </row>
    <row r="16" spans="2:10" x14ac:dyDescent="0.25">
      <c r="D16" s="6" t="s">
        <v>39</v>
      </c>
      <c r="I16" s="6">
        <f>H15-I15</f>
        <v>4510000</v>
      </c>
      <c r="J16" s="26" t="s">
        <v>10</v>
      </c>
    </row>
    <row r="17" spans="2:13" x14ac:dyDescent="0.25">
      <c r="D17" s="6"/>
      <c r="I17" s="6" t="s">
        <v>40</v>
      </c>
    </row>
    <row r="19" spans="2:13" x14ac:dyDescent="0.25">
      <c r="B19" s="28"/>
      <c r="C19" s="4" t="s">
        <v>8</v>
      </c>
      <c r="D19" s="4"/>
      <c r="E19" s="28"/>
      <c r="G19" s="4"/>
      <c r="H19" s="4"/>
      <c r="I19" s="4"/>
      <c r="J19" s="28"/>
    </row>
    <row r="20" spans="2:13" x14ac:dyDescent="0.25">
      <c r="B20" s="29"/>
      <c r="C20" s="7"/>
      <c r="D20" s="8">
        <v>10000</v>
      </c>
      <c r="E20" s="29" t="s">
        <v>9</v>
      </c>
      <c r="I20" s="5"/>
    </row>
    <row r="21" spans="2:13" x14ac:dyDescent="0.25">
      <c r="C21" s="1">
        <f>C20</f>
        <v>0</v>
      </c>
      <c r="D21" s="6">
        <f>D20</f>
        <v>10000</v>
      </c>
      <c r="I21" s="6"/>
    </row>
    <row r="22" spans="2:13" x14ac:dyDescent="0.25">
      <c r="B22" s="26" t="s">
        <v>10</v>
      </c>
      <c r="C22" s="1">
        <f>D21-C21</f>
        <v>10000</v>
      </c>
      <c r="D22" s="6"/>
      <c r="I22" s="6"/>
    </row>
    <row r="23" spans="2:13" x14ac:dyDescent="0.25">
      <c r="D23" s="6"/>
      <c r="I23" s="6"/>
    </row>
    <row r="24" spans="2:13" x14ac:dyDescent="0.25">
      <c r="D24" s="6"/>
      <c r="I24" s="6"/>
    </row>
    <row r="26" spans="2:13" x14ac:dyDescent="0.25">
      <c r="C26" s="175" t="s">
        <v>12</v>
      </c>
      <c r="D26" s="176"/>
      <c r="E26" s="176"/>
      <c r="F26" s="176"/>
      <c r="G26" s="176"/>
      <c r="H26" s="176"/>
      <c r="I26" s="176"/>
      <c r="J26" s="176"/>
      <c r="K26" s="177"/>
    </row>
    <row r="27" spans="2:13" x14ac:dyDescent="0.25">
      <c r="C27" s="178" t="s">
        <v>14</v>
      </c>
      <c r="D27" s="179"/>
      <c r="E27" s="179"/>
      <c r="F27" s="179"/>
      <c r="G27" s="180"/>
      <c r="H27" s="178" t="s">
        <v>15</v>
      </c>
      <c r="I27" s="179"/>
      <c r="J27" s="179"/>
      <c r="K27" s="180"/>
    </row>
    <row r="28" spans="2:13" x14ac:dyDescent="0.25">
      <c r="C28" s="6" t="str">
        <f>H12</f>
        <v>Rachunek bankowy</v>
      </c>
      <c r="D28" s="14"/>
      <c r="E28" s="30"/>
      <c r="F28" s="14">
        <f>I16</f>
        <v>4510000</v>
      </c>
      <c r="G28" s="15"/>
      <c r="H28" s="14" t="s">
        <v>16</v>
      </c>
      <c r="I28" s="14"/>
      <c r="J28" s="30"/>
      <c r="K28" s="15">
        <f>K29+K30</f>
        <v>6000000</v>
      </c>
      <c r="L28" s="1">
        <f>K28-F29</f>
        <v>4500000</v>
      </c>
      <c r="M28" s="1" t="s">
        <v>43</v>
      </c>
    </row>
    <row r="29" spans="2:13" x14ac:dyDescent="0.25">
      <c r="C29" s="6" t="str">
        <f>C12</f>
        <v>Należne wpłaty na kapitał własny</v>
      </c>
      <c r="D29" s="14"/>
      <c r="E29" s="30"/>
      <c r="F29" s="14">
        <f>D15</f>
        <v>1500000</v>
      </c>
      <c r="G29" s="15"/>
      <c r="H29" s="14" t="str">
        <f>C4</f>
        <v>Kapitał podstawowy (akcyjny)</v>
      </c>
      <c r="I29" s="14"/>
      <c r="J29" s="30"/>
      <c r="K29" s="15">
        <f>C7</f>
        <v>5000000</v>
      </c>
      <c r="M29" s="1" t="s">
        <v>44</v>
      </c>
    </row>
    <row r="30" spans="2:13" x14ac:dyDescent="0.25">
      <c r="C30" s="6"/>
      <c r="D30" s="14"/>
      <c r="E30" s="30"/>
      <c r="F30" s="14"/>
      <c r="G30" s="15"/>
      <c r="H30" s="14" t="str">
        <f>H4</f>
        <v>Kapitał zapasowy</v>
      </c>
      <c r="I30" s="14"/>
      <c r="J30" s="30"/>
      <c r="K30" s="15">
        <f>H8</f>
        <v>1000000</v>
      </c>
      <c r="L30" s="1" t="s">
        <v>45</v>
      </c>
    </row>
    <row r="31" spans="2:13" x14ac:dyDescent="0.25">
      <c r="C31" s="9"/>
      <c r="D31" s="4"/>
      <c r="E31" s="28"/>
      <c r="F31" s="4"/>
      <c r="G31" s="16"/>
      <c r="H31" s="4" t="s">
        <v>41</v>
      </c>
      <c r="I31" s="4"/>
      <c r="J31" s="28"/>
      <c r="K31" s="16">
        <f>C22</f>
        <v>10000</v>
      </c>
    </row>
    <row r="32" spans="2:13" x14ac:dyDescent="0.25">
      <c r="C32" s="22" t="s">
        <v>42</v>
      </c>
      <c r="D32" s="23"/>
      <c r="E32" s="45"/>
      <c r="F32" s="23">
        <f>F28+F29</f>
        <v>6010000</v>
      </c>
      <c r="G32" s="24"/>
      <c r="H32" s="22" t="s">
        <v>42</v>
      </c>
      <c r="I32" s="23"/>
      <c r="J32" s="45"/>
      <c r="K32" s="24">
        <f>K28+K31</f>
        <v>6010000</v>
      </c>
    </row>
    <row r="35" spans="3:11" x14ac:dyDescent="0.25">
      <c r="C35" s="1" t="s">
        <v>46</v>
      </c>
    </row>
    <row r="36" spans="3:11" x14ac:dyDescent="0.25">
      <c r="C36" s="1" t="s">
        <v>47</v>
      </c>
    </row>
    <row r="37" spans="3:11" x14ac:dyDescent="0.25">
      <c r="C37" s="1" t="s">
        <v>48</v>
      </c>
    </row>
    <row r="38" spans="3:11" x14ac:dyDescent="0.25">
      <c r="C38" s="1" t="s">
        <v>49</v>
      </c>
    </row>
    <row r="39" spans="3:11" x14ac:dyDescent="0.25">
      <c r="C39" s="1" t="s">
        <v>50</v>
      </c>
      <c r="F39" s="1">
        <v>1000000</v>
      </c>
    </row>
    <row r="40" spans="3:11" x14ac:dyDescent="0.25">
      <c r="C40" s="1" t="s">
        <v>51</v>
      </c>
      <c r="F40" s="1">
        <v>1200000</v>
      </c>
      <c r="H40" s="1">
        <f>F40-F39</f>
        <v>200000</v>
      </c>
      <c r="I40" s="1">
        <f>H40*0.19</f>
        <v>38000</v>
      </c>
    </row>
    <row r="41" spans="3:11" x14ac:dyDescent="0.25">
      <c r="C41" s="1" t="s">
        <v>52</v>
      </c>
    </row>
    <row r="42" spans="3:11" x14ac:dyDescent="0.25">
      <c r="C42" s="1" t="s">
        <v>53</v>
      </c>
    </row>
    <row r="43" spans="3:11" x14ac:dyDescent="0.25">
      <c r="C43" s="1" t="s">
        <v>54</v>
      </c>
      <c r="F43" s="1">
        <v>1500000</v>
      </c>
      <c r="H43" s="1">
        <f>F43-F40</f>
        <v>300000</v>
      </c>
      <c r="I43" s="1">
        <f>H43*0.19</f>
        <v>57000</v>
      </c>
    </row>
    <row r="44" spans="3:11" x14ac:dyDescent="0.25">
      <c r="H44" s="1">
        <f>F43-F39</f>
        <v>500000</v>
      </c>
      <c r="I44" s="1">
        <f>H44*0.19</f>
        <v>95000</v>
      </c>
      <c r="K44" s="1">
        <f>I44-I40</f>
        <v>57000</v>
      </c>
    </row>
    <row r="45" spans="3:11" x14ac:dyDescent="0.25">
      <c r="C45" s="1" t="s">
        <v>55</v>
      </c>
      <c r="D45" s="1" t="s">
        <v>56</v>
      </c>
    </row>
    <row r="46" spans="3:11" x14ac:dyDescent="0.25">
      <c r="C46" s="1" t="s">
        <v>57</v>
      </c>
      <c r="D46" s="1" t="s">
        <v>58</v>
      </c>
    </row>
    <row r="47" spans="3:11" x14ac:dyDescent="0.25">
      <c r="C47" s="1" t="s">
        <v>59</v>
      </c>
    </row>
    <row r="48" spans="3:11" x14ac:dyDescent="0.25">
      <c r="C48" s="1" t="s">
        <v>60</v>
      </c>
    </row>
    <row r="50" spans="2:10" x14ac:dyDescent="0.25">
      <c r="B50" s="27" t="s">
        <v>18</v>
      </c>
      <c r="C50" s="2"/>
    </row>
    <row r="52" spans="2:10" x14ac:dyDescent="0.25">
      <c r="B52" s="28"/>
      <c r="C52" s="4" t="s">
        <v>8</v>
      </c>
      <c r="D52" s="4"/>
      <c r="E52" s="28"/>
      <c r="G52" s="4"/>
      <c r="H52" s="4" t="s">
        <v>6</v>
      </c>
      <c r="I52" s="4"/>
      <c r="J52" s="28"/>
    </row>
    <row r="53" spans="2:10" x14ac:dyDescent="0.25">
      <c r="B53" s="26" t="s">
        <v>9</v>
      </c>
      <c r="C53" s="1">
        <f>F71+F78</f>
        <v>132575.75757575757</v>
      </c>
      <c r="D53" s="5">
        <v>5000000</v>
      </c>
      <c r="E53" s="26" t="s">
        <v>2</v>
      </c>
      <c r="G53" s="1" t="str">
        <f>E53</f>
        <v>1)</v>
      </c>
      <c r="H53" s="1">
        <f>D53</f>
        <v>5000000</v>
      </c>
      <c r="I53" s="5">
        <f>F70+F77</f>
        <v>159242.42424242425</v>
      </c>
      <c r="J53" s="26" t="str">
        <f>B53</f>
        <v>3)</v>
      </c>
    </row>
    <row r="54" spans="2:10" x14ac:dyDescent="0.25">
      <c r="B54" s="28"/>
      <c r="C54" s="4"/>
      <c r="D54" s="9">
        <v>1000000</v>
      </c>
      <c r="E54" s="28" t="s">
        <v>7</v>
      </c>
      <c r="G54" s="4" t="str">
        <f>E54</f>
        <v>2)</v>
      </c>
      <c r="H54" s="4">
        <f>D54</f>
        <v>1000000</v>
      </c>
      <c r="I54" s="9"/>
      <c r="J54" s="28"/>
    </row>
    <row r="55" spans="2:10" x14ac:dyDescent="0.25">
      <c r="C55" s="1">
        <f>C53</f>
        <v>132575.75757575757</v>
      </c>
      <c r="D55" s="6">
        <f>D53+D54</f>
        <v>6000000</v>
      </c>
      <c r="H55" s="1">
        <f>H53+H54</f>
        <v>6000000</v>
      </c>
      <c r="I55" s="6">
        <f>I53</f>
        <v>159242.42424242425</v>
      </c>
    </row>
    <row r="56" spans="2:10" x14ac:dyDescent="0.25">
      <c r="B56" s="26" t="s">
        <v>10</v>
      </c>
      <c r="C56" s="1">
        <f>D55-C55</f>
        <v>5867424.2424242422</v>
      </c>
      <c r="D56" s="6"/>
      <c r="I56" s="6">
        <f>H55-I55</f>
        <v>5840757.5757575762</v>
      </c>
      <c r="J56" s="26" t="s">
        <v>10</v>
      </c>
    </row>
    <row r="57" spans="2:10" x14ac:dyDescent="0.25">
      <c r="D57" s="6"/>
      <c r="I57" s="6"/>
    </row>
    <row r="59" spans="2:10" x14ac:dyDescent="0.25">
      <c r="B59" s="28"/>
      <c r="C59" s="4" t="s">
        <v>26</v>
      </c>
      <c r="D59" s="4"/>
      <c r="E59" s="28"/>
      <c r="G59" s="4"/>
      <c r="H59" s="4" t="s">
        <v>27</v>
      </c>
      <c r="I59" s="4"/>
      <c r="J59" s="28"/>
    </row>
    <row r="60" spans="2:10" x14ac:dyDescent="0.25">
      <c r="B60" s="26" t="str">
        <f>B53</f>
        <v>3)</v>
      </c>
      <c r="C60" s="1">
        <f>F72+F79</f>
        <v>26666.666666666664</v>
      </c>
      <c r="D60" s="5">
        <f>C60</f>
        <v>26666.666666666664</v>
      </c>
      <c r="E60" s="26" t="s">
        <v>28</v>
      </c>
      <c r="G60" s="7" t="str">
        <f>E60</f>
        <v>4)</v>
      </c>
      <c r="H60" s="7">
        <f>D60</f>
        <v>26666.666666666664</v>
      </c>
      <c r="I60" s="8"/>
      <c r="J60" s="29"/>
    </row>
    <row r="61" spans="2:10" x14ac:dyDescent="0.25">
      <c r="D61" s="6"/>
      <c r="H61" s="1">
        <f>H60</f>
        <v>26666.666666666664</v>
      </c>
      <c r="I61" s="6">
        <v>0</v>
      </c>
    </row>
    <row r="62" spans="2:10" x14ac:dyDescent="0.25">
      <c r="D62" s="6"/>
      <c r="I62" s="6">
        <f>H61-I61</f>
        <v>26666.666666666664</v>
      </c>
      <c r="J62" s="26" t="s">
        <v>31</v>
      </c>
    </row>
    <row r="63" spans="2:10" x14ac:dyDescent="0.25">
      <c r="D63" s="6"/>
      <c r="I63" s="6" t="s">
        <v>68</v>
      </c>
    </row>
    <row r="64" spans="2:10" x14ac:dyDescent="0.25">
      <c r="D64" s="6"/>
      <c r="I64" s="6" t="s">
        <v>69</v>
      </c>
    </row>
    <row r="66" spans="1:11" x14ac:dyDescent="0.25">
      <c r="C66" s="1" t="s">
        <v>61</v>
      </c>
    </row>
    <row r="67" spans="1:11" x14ac:dyDescent="0.25">
      <c r="C67" s="1" t="s">
        <v>62</v>
      </c>
      <c r="F67" s="1">
        <v>5000000</v>
      </c>
      <c r="G67" s="1" t="s">
        <v>19</v>
      </c>
    </row>
    <row r="68" spans="1:11" x14ac:dyDescent="0.25">
      <c r="C68" s="1" t="s">
        <v>63</v>
      </c>
      <c r="F68" s="1">
        <v>10</v>
      </c>
      <c r="G68" s="1" t="s">
        <v>64</v>
      </c>
    </row>
    <row r="69" spans="1:11" x14ac:dyDescent="0.25">
      <c r="C69" s="1" t="s">
        <v>21</v>
      </c>
      <c r="F69" s="20">
        <v>0.05</v>
      </c>
    </row>
    <row r="70" spans="1:11" x14ac:dyDescent="0.25">
      <c r="C70" s="1" t="s">
        <v>65</v>
      </c>
      <c r="F70" s="1">
        <f>F71+F72</f>
        <v>62500</v>
      </c>
      <c r="G70" s="1" t="s">
        <v>19</v>
      </c>
    </row>
    <row r="71" spans="1:11" x14ac:dyDescent="0.25">
      <c r="C71" s="1" t="s">
        <v>23</v>
      </c>
      <c r="F71" s="1">
        <f>F67/F68/12</f>
        <v>41666.666666666664</v>
      </c>
      <c r="G71" s="1" t="s">
        <v>19</v>
      </c>
    </row>
    <row r="72" spans="1:11" x14ac:dyDescent="0.25">
      <c r="C72" s="1" t="s">
        <v>24</v>
      </c>
      <c r="F72" s="1">
        <f>F67*F69/12</f>
        <v>20833.333333333332</v>
      </c>
      <c r="G72" s="1" t="s">
        <v>19</v>
      </c>
    </row>
    <row r="73" spans="1:11" x14ac:dyDescent="0.25">
      <c r="C73" s="1" t="s">
        <v>66</v>
      </c>
    </row>
    <row r="74" spans="1:11" x14ac:dyDescent="0.25">
      <c r="C74" s="1" t="s">
        <v>62</v>
      </c>
      <c r="F74" s="1">
        <v>1000000</v>
      </c>
      <c r="G74" s="1" t="s">
        <v>19</v>
      </c>
    </row>
    <row r="75" spans="1:11" x14ac:dyDescent="0.25">
      <c r="C75" s="1" t="s">
        <v>63</v>
      </c>
      <c r="F75" s="1">
        <v>11</v>
      </c>
      <c r="G75" s="1" t="s">
        <v>25</v>
      </c>
    </row>
    <row r="76" spans="1:11" x14ac:dyDescent="0.25">
      <c r="A76" s="30"/>
      <c r="B76" s="30"/>
      <c r="C76" s="14" t="s">
        <v>21</v>
      </c>
      <c r="D76" s="14"/>
      <c r="E76" s="30"/>
      <c r="F76" s="21">
        <v>7.0000000000000007E-2</v>
      </c>
      <c r="G76" s="14"/>
      <c r="H76" s="14"/>
      <c r="I76" s="14"/>
      <c r="J76" s="30"/>
      <c r="K76" s="14"/>
    </row>
    <row r="77" spans="1:11" x14ac:dyDescent="0.25">
      <c r="A77" s="30"/>
      <c r="B77" s="30"/>
      <c r="C77" s="14" t="s">
        <v>65</v>
      </c>
      <c r="D77" s="14"/>
      <c r="E77" s="30"/>
      <c r="F77" s="14">
        <f>F78+F79</f>
        <v>96742.42424242424</v>
      </c>
      <c r="G77" s="1" t="s">
        <v>19</v>
      </c>
      <c r="H77" s="14"/>
      <c r="I77" s="14"/>
      <c r="J77" s="30"/>
      <c r="K77" s="14"/>
    </row>
    <row r="78" spans="1:11" x14ac:dyDescent="0.25">
      <c r="A78" s="30"/>
      <c r="B78" s="30"/>
      <c r="C78" s="14" t="s">
        <v>23</v>
      </c>
      <c r="D78" s="14"/>
      <c r="E78" s="30"/>
      <c r="F78" s="14">
        <f>F74/F75</f>
        <v>90909.090909090912</v>
      </c>
      <c r="G78" s="1" t="s">
        <v>19</v>
      </c>
      <c r="H78" s="14"/>
      <c r="I78" s="14"/>
      <c r="J78" s="30"/>
      <c r="K78" s="14"/>
    </row>
    <row r="79" spans="1:11" x14ac:dyDescent="0.25">
      <c r="A79" s="30"/>
      <c r="B79" s="30"/>
      <c r="C79" s="14" t="s">
        <v>24</v>
      </c>
      <c r="D79" s="14"/>
      <c r="E79" s="30"/>
      <c r="F79" s="14">
        <f>F74*F76/12</f>
        <v>5833.333333333333</v>
      </c>
      <c r="G79" s="1" t="s">
        <v>19</v>
      </c>
      <c r="H79" s="14"/>
      <c r="I79" s="14"/>
      <c r="J79" s="30"/>
      <c r="K79" s="14"/>
    </row>
    <row r="80" spans="1:11" x14ac:dyDescent="0.25">
      <c r="A80" s="30"/>
      <c r="B80" s="30"/>
      <c r="C80" s="14"/>
      <c r="D80" s="14"/>
      <c r="E80" s="30"/>
      <c r="F80" s="14"/>
      <c r="G80" s="14"/>
      <c r="H80" s="14"/>
      <c r="I80" s="14"/>
      <c r="J80" s="30"/>
      <c r="K80" s="14"/>
    </row>
    <row r="81" spans="1:11" x14ac:dyDescent="0.25">
      <c r="A81" s="30"/>
      <c r="B81" s="175" t="s">
        <v>12</v>
      </c>
      <c r="C81" s="176"/>
      <c r="D81" s="176"/>
      <c r="E81" s="176"/>
      <c r="F81" s="176"/>
      <c r="G81" s="176"/>
      <c r="H81" s="176"/>
      <c r="I81" s="176"/>
      <c r="J81" s="177"/>
      <c r="K81" s="14"/>
    </row>
    <row r="82" spans="1:11" x14ac:dyDescent="0.25">
      <c r="B82" s="178" t="s">
        <v>14</v>
      </c>
      <c r="C82" s="179"/>
      <c r="D82" s="179"/>
      <c r="E82" s="179"/>
      <c r="F82" s="180"/>
      <c r="G82" s="178" t="s">
        <v>15</v>
      </c>
      <c r="H82" s="179"/>
      <c r="I82" s="179"/>
      <c r="J82" s="180"/>
    </row>
    <row r="83" spans="1:11" x14ac:dyDescent="0.25">
      <c r="B83" s="42" t="str">
        <f>H52</f>
        <v>Rachunek bankowy</v>
      </c>
      <c r="C83" s="14"/>
      <c r="D83" s="14"/>
      <c r="E83" s="30"/>
      <c r="F83" s="15">
        <f>I56</f>
        <v>5840757.5757575762</v>
      </c>
      <c r="G83" s="14" t="s">
        <v>16</v>
      </c>
      <c r="H83" s="14"/>
      <c r="I83" s="14">
        <f>I84</f>
        <v>-26666.666666666664</v>
      </c>
      <c r="J83" s="46"/>
    </row>
    <row r="84" spans="1:11" x14ac:dyDescent="0.25">
      <c r="B84" s="42"/>
      <c r="C84" s="14"/>
      <c r="D84" s="14"/>
      <c r="E84" s="30"/>
      <c r="F84" s="15"/>
      <c r="G84" s="14" t="s">
        <v>67</v>
      </c>
      <c r="H84" s="14"/>
      <c r="I84" s="14">
        <f>-I62</f>
        <v>-26666.666666666664</v>
      </c>
      <c r="J84" s="46"/>
    </row>
    <row r="85" spans="1:11" x14ac:dyDescent="0.25">
      <c r="B85" s="42"/>
      <c r="C85" s="14"/>
      <c r="D85" s="14"/>
      <c r="E85" s="30"/>
      <c r="F85" s="15"/>
      <c r="G85" s="14" t="str">
        <f>C52</f>
        <v>Kredyty</v>
      </c>
      <c r="I85" s="14">
        <f>C56</f>
        <v>5867424.2424242422</v>
      </c>
      <c r="J85" s="46"/>
    </row>
    <row r="86" spans="1:11" x14ac:dyDescent="0.25">
      <c r="B86" s="42"/>
      <c r="C86" s="14"/>
      <c r="D86" s="14"/>
      <c r="E86" s="30"/>
      <c r="F86" s="15"/>
      <c r="G86" s="14" t="s">
        <v>70</v>
      </c>
      <c r="I86" s="14">
        <f>F67/10*9</f>
        <v>4500000</v>
      </c>
      <c r="J86" s="46"/>
    </row>
    <row r="87" spans="1:11" x14ac:dyDescent="0.25">
      <c r="B87" s="43"/>
      <c r="C87" s="4"/>
      <c r="D87" s="4"/>
      <c r="E87" s="28"/>
      <c r="F87" s="16"/>
      <c r="G87" s="4" t="s">
        <v>71</v>
      </c>
      <c r="H87" s="4"/>
      <c r="I87" s="4">
        <f>(F67/F68-F71)+F74-F78</f>
        <v>1367424.2424242424</v>
      </c>
      <c r="J87" s="47"/>
    </row>
    <row r="88" spans="1:11" x14ac:dyDescent="0.25">
      <c r="B88" s="44" t="s">
        <v>42</v>
      </c>
      <c r="C88" s="23"/>
      <c r="D88" s="23"/>
      <c r="E88" s="45"/>
      <c r="F88" s="24">
        <f>F83</f>
        <v>5840757.5757575762</v>
      </c>
      <c r="G88" s="22" t="s">
        <v>42</v>
      </c>
      <c r="H88" s="23"/>
      <c r="I88" s="23">
        <f>I83+I85</f>
        <v>5840757.5757575752</v>
      </c>
      <c r="J88" s="47"/>
    </row>
    <row r="90" spans="1:11" x14ac:dyDescent="0.25">
      <c r="B90" s="27" t="s">
        <v>94</v>
      </c>
      <c r="C90" s="2"/>
    </row>
    <row r="92" spans="1:11" x14ac:dyDescent="0.25">
      <c r="B92" s="28"/>
      <c r="C92" s="4" t="s">
        <v>104</v>
      </c>
      <c r="D92" s="4"/>
      <c r="E92" s="28"/>
      <c r="G92" s="4"/>
      <c r="H92" s="4" t="s">
        <v>114</v>
      </c>
      <c r="I92" s="4"/>
      <c r="J92" s="28"/>
    </row>
    <row r="93" spans="1:11" x14ac:dyDescent="0.25">
      <c r="B93" s="26" t="str">
        <f>E100</f>
        <v>4)</v>
      </c>
      <c r="C93" s="1">
        <f>200000*4</f>
        <v>800000</v>
      </c>
      <c r="D93" s="5">
        <f>250000*4</f>
        <v>1000000</v>
      </c>
      <c r="E93" s="26" t="s">
        <v>2</v>
      </c>
      <c r="G93" s="1" t="str">
        <f>E93</f>
        <v>1)</v>
      </c>
      <c r="H93" s="1">
        <f>D93</f>
        <v>1000000</v>
      </c>
      <c r="I93" s="5">
        <f>SUM(H93:H96)</f>
        <v>1034999.9999999999</v>
      </c>
      <c r="J93" s="26" t="s">
        <v>98</v>
      </c>
    </row>
    <row r="94" spans="1:11" x14ac:dyDescent="0.25">
      <c r="D94" s="6">
        <v>10000</v>
      </c>
      <c r="E94" s="26" t="s">
        <v>7</v>
      </c>
      <c r="G94" s="1" t="str">
        <f>E94</f>
        <v>2)</v>
      </c>
      <c r="H94" s="1">
        <f>D94</f>
        <v>10000</v>
      </c>
      <c r="I94" s="6"/>
    </row>
    <row r="95" spans="1:11" x14ac:dyDescent="0.25">
      <c r="B95" s="28"/>
      <c r="C95" s="4"/>
      <c r="D95" s="9">
        <v>5000</v>
      </c>
      <c r="E95" s="28" t="s">
        <v>9</v>
      </c>
      <c r="G95" s="1" t="str">
        <f>E95</f>
        <v>3)</v>
      </c>
      <c r="H95" s="1">
        <f>D95</f>
        <v>5000</v>
      </c>
      <c r="I95" s="6"/>
    </row>
    <row r="96" spans="1:11" x14ac:dyDescent="0.25">
      <c r="C96" s="1">
        <f>C93</f>
        <v>800000</v>
      </c>
      <c r="D96" s="6">
        <f>SUM(D93:D95)</f>
        <v>1015000</v>
      </c>
      <c r="G96" s="4" t="str">
        <f>E100</f>
        <v>4)</v>
      </c>
      <c r="H96" s="4">
        <f>D100-C93</f>
        <v>19999.999999999884</v>
      </c>
      <c r="I96" s="9"/>
      <c r="J96" s="28"/>
    </row>
    <row r="97" spans="2:13" ht="17.25" x14ac:dyDescent="0.4">
      <c r="B97" s="26" t="s">
        <v>10</v>
      </c>
      <c r="C97" s="1">
        <f>D96-C96</f>
        <v>215000</v>
      </c>
      <c r="D97" s="6"/>
      <c r="H97" s="10">
        <f>SUM(H93:H96)</f>
        <v>1034999.9999999999</v>
      </c>
      <c r="I97" s="11">
        <f>SUM(I93)</f>
        <v>1034999.9999999999</v>
      </c>
    </row>
    <row r="99" spans="2:13" x14ac:dyDescent="0.25">
      <c r="B99" s="28"/>
      <c r="C99" s="4" t="s">
        <v>6</v>
      </c>
      <c r="D99" s="4"/>
      <c r="E99" s="28"/>
      <c r="G99" s="4"/>
      <c r="H99" s="4" t="s">
        <v>99</v>
      </c>
      <c r="I99" s="4"/>
      <c r="J99" s="28"/>
    </row>
    <row r="100" spans="2:13" x14ac:dyDescent="0.25">
      <c r="B100" s="29" t="s">
        <v>101</v>
      </c>
      <c r="C100" s="7">
        <v>0</v>
      </c>
      <c r="D100" s="8">
        <f>200000*4.1</f>
        <v>819999.99999999988</v>
      </c>
      <c r="E100" s="29" t="s">
        <v>28</v>
      </c>
      <c r="G100" s="7" t="str">
        <f>J93</f>
        <v>5)</v>
      </c>
      <c r="H100" s="7">
        <f>I93</f>
        <v>1034999.9999999999</v>
      </c>
      <c r="I100" s="8"/>
      <c r="J100" s="29"/>
    </row>
    <row r="101" spans="2:13" x14ac:dyDescent="0.25">
      <c r="C101" s="1">
        <f>C100</f>
        <v>0</v>
      </c>
      <c r="D101" s="6">
        <f>D100</f>
        <v>819999.99999999988</v>
      </c>
      <c r="H101" s="1">
        <f>H100</f>
        <v>1034999.9999999999</v>
      </c>
      <c r="I101" s="6">
        <v>0</v>
      </c>
    </row>
    <row r="102" spans="2:13" x14ac:dyDescent="0.25">
      <c r="B102" s="26" t="s">
        <v>10</v>
      </c>
      <c r="C102" s="1">
        <f>D101-C101</f>
        <v>819999.99999999988</v>
      </c>
      <c r="D102" s="6"/>
      <c r="I102" s="6">
        <f>H101-I101</f>
        <v>1034999.9999999999</v>
      </c>
      <c r="J102" s="26" t="s">
        <v>10</v>
      </c>
    </row>
    <row r="103" spans="2:13" x14ac:dyDescent="0.25">
      <c r="C103" s="1" t="s">
        <v>115</v>
      </c>
      <c r="D103" s="6"/>
      <c r="I103" s="6"/>
    </row>
    <row r="104" spans="2:13" x14ac:dyDescent="0.25">
      <c r="D104" s="6"/>
      <c r="I104" s="6"/>
    </row>
    <row r="106" spans="2:13" x14ac:dyDescent="0.25">
      <c r="B106" s="178" t="s">
        <v>12</v>
      </c>
      <c r="C106" s="179"/>
      <c r="D106" s="179"/>
      <c r="E106" s="179"/>
      <c r="F106" s="179"/>
      <c r="G106" s="179"/>
      <c r="H106" s="179"/>
      <c r="I106" s="179"/>
      <c r="J106" s="179"/>
      <c r="K106" s="13"/>
      <c r="L106" s="14"/>
      <c r="M106" s="14"/>
    </row>
    <row r="107" spans="2:13" x14ac:dyDescent="0.25">
      <c r="B107" s="178" t="s">
        <v>14</v>
      </c>
      <c r="C107" s="179"/>
      <c r="D107" s="179"/>
      <c r="E107" s="179"/>
      <c r="F107" s="179"/>
      <c r="G107" s="179" t="s">
        <v>15</v>
      </c>
      <c r="H107" s="179"/>
      <c r="I107" s="179"/>
      <c r="J107" s="179"/>
      <c r="K107" s="13"/>
      <c r="L107" s="14"/>
      <c r="M107" s="14"/>
    </row>
    <row r="108" spans="2:13" x14ac:dyDescent="0.25">
      <c r="B108" s="42"/>
      <c r="C108" s="14" t="str">
        <f>H99</f>
        <v>Środki trwałe</v>
      </c>
      <c r="D108" s="14"/>
      <c r="E108" s="30"/>
      <c r="F108" s="14">
        <f>I102</f>
        <v>1034999.9999999999</v>
      </c>
      <c r="G108" s="14"/>
      <c r="H108" s="14" t="str">
        <f>C92</f>
        <v>Zobowiązania wobec kontrahentów</v>
      </c>
      <c r="I108" s="14"/>
      <c r="J108" s="30"/>
      <c r="K108" s="15">
        <f>C97</f>
        <v>215000</v>
      </c>
      <c r="L108" s="14"/>
      <c r="M108" s="14"/>
    </row>
    <row r="109" spans="2:13" x14ac:dyDescent="0.25">
      <c r="B109" s="42"/>
      <c r="C109" s="14"/>
      <c r="D109" s="14"/>
      <c r="E109" s="30"/>
      <c r="F109" s="14"/>
      <c r="G109" s="14"/>
      <c r="H109" s="14" t="str">
        <f>C99</f>
        <v>Rachunek bankowy</v>
      </c>
      <c r="I109" s="14"/>
      <c r="J109" s="30"/>
      <c r="K109" s="15">
        <f>C102</f>
        <v>819999.99999999988</v>
      </c>
      <c r="L109" s="14"/>
      <c r="M109" s="14"/>
    </row>
    <row r="110" spans="2:13" x14ac:dyDescent="0.25">
      <c r="B110" s="42"/>
      <c r="C110" s="14"/>
      <c r="D110" s="14"/>
      <c r="E110" s="30"/>
      <c r="F110" s="14"/>
      <c r="G110" s="14"/>
      <c r="H110" s="14" t="s">
        <v>116</v>
      </c>
      <c r="I110" s="14"/>
      <c r="J110" s="30"/>
      <c r="K110" s="15"/>
      <c r="L110" s="14"/>
      <c r="M110" s="14"/>
    </row>
    <row r="111" spans="2:13" x14ac:dyDescent="0.25">
      <c r="B111" s="42"/>
      <c r="C111" s="14"/>
      <c r="D111" s="14"/>
      <c r="E111" s="30"/>
      <c r="F111" s="14"/>
      <c r="G111" s="14"/>
      <c r="H111" s="14"/>
      <c r="I111" s="14"/>
      <c r="J111" s="30"/>
      <c r="K111" s="15"/>
      <c r="L111" s="14"/>
      <c r="M111" s="14"/>
    </row>
    <row r="112" spans="2:13" x14ac:dyDescent="0.25">
      <c r="B112" s="43"/>
      <c r="C112" s="4"/>
      <c r="D112" s="4"/>
      <c r="E112" s="28"/>
      <c r="F112" s="4"/>
      <c r="G112" s="4"/>
      <c r="H112" s="4"/>
      <c r="I112" s="4"/>
      <c r="J112" s="28"/>
      <c r="K112" s="16"/>
      <c r="L112" s="14"/>
      <c r="M112" s="14"/>
    </row>
    <row r="113" spans="2:13" x14ac:dyDescent="0.25">
      <c r="B113" s="44" t="s">
        <v>42</v>
      </c>
      <c r="C113" s="23"/>
      <c r="D113" s="23"/>
      <c r="E113" s="45"/>
      <c r="F113" s="23">
        <f>F108</f>
        <v>1034999.9999999999</v>
      </c>
      <c r="G113" s="23" t="s">
        <v>42</v>
      </c>
      <c r="H113" s="23"/>
      <c r="I113" s="4"/>
      <c r="J113" s="28"/>
      <c r="K113" s="24">
        <f>K108+K109</f>
        <v>1034999.9999999999</v>
      </c>
      <c r="L113" s="14"/>
      <c r="M113" s="14"/>
    </row>
    <row r="115" spans="2:13" x14ac:dyDescent="0.25">
      <c r="B115" s="27" t="s">
        <v>103</v>
      </c>
      <c r="C115" s="2"/>
    </row>
    <row r="116" spans="2:13" x14ac:dyDescent="0.25">
      <c r="H116" s="1" t="s">
        <v>118</v>
      </c>
    </row>
    <row r="117" spans="2:13" x14ac:dyDescent="0.25">
      <c r="B117" s="28"/>
      <c r="C117" s="4" t="s">
        <v>104</v>
      </c>
      <c r="D117" s="4"/>
      <c r="E117" s="28"/>
      <c r="G117" s="4"/>
      <c r="H117" s="4" t="s">
        <v>117</v>
      </c>
      <c r="I117" s="4"/>
      <c r="J117" s="28"/>
    </row>
    <row r="118" spans="2:13" x14ac:dyDescent="0.25">
      <c r="B118" s="26" t="s">
        <v>98</v>
      </c>
      <c r="C118" s="1">
        <v>1500</v>
      </c>
      <c r="D118" s="5">
        <v>1000</v>
      </c>
      <c r="E118" s="26" t="s">
        <v>7</v>
      </c>
      <c r="I118" s="5">
        <f>D118</f>
        <v>1000</v>
      </c>
      <c r="J118" s="26" t="str">
        <f>E118</f>
        <v>2)</v>
      </c>
    </row>
    <row r="119" spans="2:13" x14ac:dyDescent="0.25">
      <c r="D119" s="6">
        <v>100000</v>
      </c>
      <c r="E119" s="26" t="s">
        <v>110</v>
      </c>
      <c r="I119" s="6"/>
    </row>
    <row r="120" spans="2:13" x14ac:dyDescent="0.25">
      <c r="D120" s="6"/>
      <c r="I120" s="6"/>
    </row>
    <row r="121" spans="2:13" x14ac:dyDescent="0.25">
      <c r="D121" s="6"/>
      <c r="I121" s="6"/>
    </row>
    <row r="122" spans="2:13" x14ac:dyDescent="0.25">
      <c r="D122" s="6"/>
      <c r="I122" s="6"/>
    </row>
    <row r="125" spans="2:13" x14ac:dyDescent="0.25">
      <c r="B125" s="28"/>
      <c r="C125" s="4" t="s">
        <v>119</v>
      </c>
      <c r="D125" s="4"/>
      <c r="E125" s="28"/>
      <c r="G125" s="4"/>
      <c r="H125" s="4" t="s">
        <v>120</v>
      </c>
      <c r="I125" s="4"/>
      <c r="J125" s="28"/>
    </row>
    <row r="126" spans="2:13" x14ac:dyDescent="0.25">
      <c r="B126" s="26" t="str">
        <f>E118</f>
        <v>2)</v>
      </c>
      <c r="C126" s="1">
        <f>D118</f>
        <v>1000</v>
      </c>
      <c r="D126" s="5"/>
      <c r="G126" s="1" t="str">
        <f>E119</f>
        <v>3-4)</v>
      </c>
      <c r="H126" s="1">
        <f>D119</f>
        <v>100000</v>
      </c>
      <c r="I126" s="5"/>
    </row>
    <row r="127" spans="2:13" x14ac:dyDescent="0.25">
      <c r="D127" s="6"/>
      <c r="I127" s="6"/>
    </row>
    <row r="128" spans="2:13" x14ac:dyDescent="0.25">
      <c r="D128" s="6"/>
      <c r="I128" s="6"/>
    </row>
    <row r="129" spans="2:10" x14ac:dyDescent="0.25">
      <c r="D129" s="6"/>
      <c r="I129" s="6"/>
    </row>
    <row r="130" spans="2:10" x14ac:dyDescent="0.25">
      <c r="D130" s="6"/>
      <c r="I130" s="6"/>
    </row>
    <row r="132" spans="2:10" x14ac:dyDescent="0.25">
      <c r="B132" s="28"/>
      <c r="C132" s="4" t="s">
        <v>121</v>
      </c>
      <c r="D132" s="4"/>
      <c r="E132" s="28"/>
      <c r="G132" s="4"/>
      <c r="H132" s="4" t="s">
        <v>122</v>
      </c>
      <c r="I132" s="4"/>
      <c r="J132" s="28"/>
    </row>
    <row r="133" spans="2:10" x14ac:dyDescent="0.25">
      <c r="D133" s="5">
        <f>D119</f>
        <v>100000</v>
      </c>
      <c r="E133" s="26" t="str">
        <f>E119</f>
        <v>3-4)</v>
      </c>
      <c r="G133" s="1" t="s">
        <v>101</v>
      </c>
      <c r="H133" s="1" t="s">
        <v>100</v>
      </c>
      <c r="I133" s="5">
        <v>2000</v>
      </c>
      <c r="J133" s="26" t="str">
        <f>B118</f>
        <v>5)</v>
      </c>
    </row>
    <row r="134" spans="2:10" x14ac:dyDescent="0.25">
      <c r="D134" s="6"/>
      <c r="I134" s="6"/>
    </row>
    <row r="135" spans="2:10" x14ac:dyDescent="0.25">
      <c r="D135" s="6"/>
      <c r="I135" s="6"/>
    </row>
    <row r="136" spans="2:10" x14ac:dyDescent="0.25">
      <c r="D136" s="6"/>
      <c r="I136" s="6"/>
    </row>
    <row r="137" spans="2:10" x14ac:dyDescent="0.25">
      <c r="D137" s="6"/>
      <c r="I137" s="6"/>
    </row>
    <row r="140" spans="2:10" x14ac:dyDescent="0.25">
      <c r="B140" s="28"/>
      <c r="C140" s="4" t="s">
        <v>26</v>
      </c>
      <c r="D140" s="4"/>
      <c r="E140" s="28"/>
      <c r="G140" s="4"/>
      <c r="H140" s="4" t="s">
        <v>111</v>
      </c>
      <c r="I140" s="4"/>
      <c r="J140" s="28"/>
    </row>
    <row r="141" spans="2:10" x14ac:dyDescent="0.25">
      <c r="B141" s="26" t="str">
        <f>J133</f>
        <v>5)</v>
      </c>
      <c r="C141" s="1">
        <f>I133-C118</f>
        <v>500</v>
      </c>
      <c r="D141" s="5"/>
      <c r="G141" s="1" t="s">
        <v>113</v>
      </c>
      <c r="H141" s="1">
        <v>20000</v>
      </c>
      <c r="I141" s="5"/>
    </row>
    <row r="142" spans="2:10" x14ac:dyDescent="0.25">
      <c r="D142" s="6"/>
      <c r="I142" s="6"/>
    </row>
    <row r="143" spans="2:10" x14ac:dyDescent="0.25">
      <c r="D143" s="6"/>
      <c r="I143" s="6"/>
    </row>
    <row r="144" spans="2:10" x14ac:dyDescent="0.25">
      <c r="D144" s="6"/>
      <c r="I144" s="6"/>
    </row>
    <row r="145" spans="2:12" x14ac:dyDescent="0.25">
      <c r="D145" s="6"/>
      <c r="I145" s="6"/>
    </row>
    <row r="147" spans="2:12" x14ac:dyDescent="0.25">
      <c r="B147" s="28"/>
      <c r="C147" s="4" t="s">
        <v>112</v>
      </c>
      <c r="D147" s="4"/>
      <c r="E147" s="28"/>
      <c r="G147" s="4"/>
      <c r="H147" s="4"/>
      <c r="I147" s="4"/>
      <c r="J147" s="28"/>
    </row>
    <row r="148" spans="2:12" x14ac:dyDescent="0.25">
      <c r="D148" s="5">
        <f>H141</f>
        <v>20000</v>
      </c>
      <c r="E148" s="26" t="str">
        <f>G141</f>
        <v>6)</v>
      </c>
      <c r="I148" s="5"/>
    </row>
    <row r="149" spans="2:12" x14ac:dyDescent="0.25">
      <c r="D149" s="6"/>
      <c r="I149" s="6"/>
    </row>
    <row r="151" spans="2:12" x14ac:dyDescent="0.25">
      <c r="B151" s="27" t="s">
        <v>155</v>
      </c>
      <c r="C151" s="2"/>
      <c r="D151" s="2"/>
    </row>
    <row r="153" spans="2:12" x14ac:dyDescent="0.25">
      <c r="C153" s="1" t="s">
        <v>163</v>
      </c>
    </row>
    <row r="154" spans="2:12" x14ac:dyDescent="0.25">
      <c r="I154" s="1" t="s">
        <v>159</v>
      </c>
    </row>
    <row r="155" spans="2:12" x14ac:dyDescent="0.25">
      <c r="B155" s="26" t="s">
        <v>2</v>
      </c>
      <c r="C155" s="1" t="s">
        <v>156</v>
      </c>
    </row>
    <row r="156" spans="2:12" x14ac:dyDescent="0.25">
      <c r="B156" s="26">
        <v>1</v>
      </c>
      <c r="C156" s="1">
        <v>100</v>
      </c>
      <c r="D156" s="1" t="s">
        <v>136</v>
      </c>
      <c r="F156" s="1">
        <v>150</v>
      </c>
      <c r="G156" s="1" t="s">
        <v>19</v>
      </c>
      <c r="I156" s="33" t="s">
        <v>132</v>
      </c>
      <c r="K156" s="33">
        <f>F161/C161</f>
        <v>106.25</v>
      </c>
    </row>
    <row r="157" spans="2:12" x14ac:dyDescent="0.25">
      <c r="B157" s="26">
        <v>2</v>
      </c>
      <c r="C157" s="1">
        <v>50</v>
      </c>
      <c r="D157" s="1" t="s">
        <v>136</v>
      </c>
      <c r="F157" s="1">
        <v>140</v>
      </c>
      <c r="G157" s="1" t="s">
        <v>19</v>
      </c>
      <c r="K157" s="1">
        <f>K156*C161</f>
        <v>51000</v>
      </c>
      <c r="L157" s="33">
        <f>250*K156</f>
        <v>26562.5</v>
      </c>
    </row>
    <row r="158" spans="2:12" x14ac:dyDescent="0.25">
      <c r="B158" s="26">
        <v>3</v>
      </c>
      <c r="C158" s="1">
        <v>80</v>
      </c>
      <c r="D158" s="1" t="s">
        <v>136</v>
      </c>
      <c r="F158" s="1">
        <v>100</v>
      </c>
      <c r="G158" s="1" t="s">
        <v>19</v>
      </c>
      <c r="I158" s="1" t="s">
        <v>162</v>
      </c>
      <c r="L158" s="33">
        <f>I178-L157</f>
        <v>48437.5</v>
      </c>
    </row>
    <row r="159" spans="2:12" x14ac:dyDescent="0.25">
      <c r="B159" s="26">
        <v>4</v>
      </c>
      <c r="C159" s="1">
        <v>100</v>
      </c>
      <c r="D159" s="1" t="s">
        <v>136</v>
      </c>
      <c r="F159" s="1">
        <v>90</v>
      </c>
      <c r="G159" s="1" t="s">
        <v>19</v>
      </c>
      <c r="I159" s="38" t="s">
        <v>133</v>
      </c>
      <c r="K159" s="1">
        <f>C156*F156</f>
        <v>15000</v>
      </c>
    </row>
    <row r="160" spans="2:12" x14ac:dyDescent="0.25">
      <c r="B160" s="26">
        <v>5</v>
      </c>
      <c r="C160" s="1">
        <v>150</v>
      </c>
      <c r="D160" s="1" t="s">
        <v>136</v>
      </c>
      <c r="F160" s="1">
        <v>80</v>
      </c>
      <c r="G160" s="1" t="s">
        <v>19</v>
      </c>
      <c r="K160" s="1">
        <f>C157*F157</f>
        <v>7000</v>
      </c>
    </row>
    <row r="161" spans="2:12" x14ac:dyDescent="0.25">
      <c r="C161" s="1">
        <f>SUM(C156:C160)</f>
        <v>480</v>
      </c>
      <c r="F161" s="1">
        <f>C156*F156+C157*F157+C158*F158+C159*F159+C160*F160</f>
        <v>51000</v>
      </c>
      <c r="K161" s="1">
        <f>C158*F158</f>
        <v>8000</v>
      </c>
    </row>
    <row r="162" spans="2:12" x14ac:dyDescent="0.25">
      <c r="C162" s="1" t="s">
        <v>157</v>
      </c>
      <c r="K162" s="1">
        <f>20*F159</f>
        <v>1800</v>
      </c>
    </row>
    <row r="163" spans="2:12" x14ac:dyDescent="0.25">
      <c r="K163" s="38">
        <f>SUM(K159:K162)</f>
        <v>31800</v>
      </c>
    </row>
    <row r="164" spans="2:12" x14ac:dyDescent="0.25">
      <c r="I164" s="1" t="s">
        <v>162</v>
      </c>
      <c r="L164" s="38">
        <f>I178-K163</f>
        <v>43200</v>
      </c>
    </row>
    <row r="165" spans="2:12" x14ac:dyDescent="0.25">
      <c r="I165" s="35" t="s">
        <v>134</v>
      </c>
      <c r="K165" s="1">
        <f>C160*F160</f>
        <v>12000</v>
      </c>
    </row>
    <row r="166" spans="2:12" x14ac:dyDescent="0.25">
      <c r="K166" s="1">
        <f>C159*F159</f>
        <v>9000</v>
      </c>
    </row>
    <row r="167" spans="2:12" x14ac:dyDescent="0.25">
      <c r="K167" s="35">
        <f>K165+K166</f>
        <v>21000</v>
      </c>
    </row>
    <row r="168" spans="2:12" x14ac:dyDescent="0.25">
      <c r="I168" s="1" t="s">
        <v>162</v>
      </c>
      <c r="L168" s="35">
        <f>I178-K167</f>
        <v>54000</v>
      </c>
    </row>
    <row r="170" spans="2:12" x14ac:dyDescent="0.25">
      <c r="B170" s="28"/>
      <c r="C170" s="4" t="s">
        <v>137</v>
      </c>
      <c r="D170" s="4"/>
      <c r="E170" s="28"/>
      <c r="G170" s="4"/>
      <c r="H170" s="4" t="s">
        <v>104</v>
      </c>
      <c r="I170" s="4"/>
      <c r="J170" s="28"/>
    </row>
    <row r="171" spans="2:12" x14ac:dyDescent="0.25">
      <c r="B171" s="26">
        <f>B156</f>
        <v>1</v>
      </c>
      <c r="C171" s="1">
        <f>C156*F156</f>
        <v>15000</v>
      </c>
      <c r="D171" s="34">
        <f>L157</f>
        <v>26562.5</v>
      </c>
      <c r="E171" s="48" t="s">
        <v>144</v>
      </c>
      <c r="I171" s="5">
        <f>C171*1.23</f>
        <v>18450</v>
      </c>
      <c r="J171" s="26">
        <f>B171</f>
        <v>1</v>
      </c>
    </row>
    <row r="172" spans="2:12" x14ac:dyDescent="0.25">
      <c r="B172" s="26">
        <f t="shared" ref="B172:B175" si="0">B157</f>
        <v>2</v>
      </c>
      <c r="C172" s="1">
        <f>C157*F157</f>
        <v>7000</v>
      </c>
      <c r="D172" s="49">
        <f>K163</f>
        <v>31800</v>
      </c>
      <c r="E172" s="50" t="s">
        <v>144</v>
      </c>
      <c r="I172" s="6">
        <f>C172*1.23</f>
        <v>8610</v>
      </c>
      <c r="J172" s="26">
        <f>B172</f>
        <v>2</v>
      </c>
    </row>
    <row r="173" spans="2:12" x14ac:dyDescent="0.25">
      <c r="B173" s="26">
        <f t="shared" si="0"/>
        <v>3</v>
      </c>
      <c r="C173" s="1">
        <f>F158*C158</f>
        <v>8000</v>
      </c>
      <c r="D173" s="36">
        <f>K167</f>
        <v>21000</v>
      </c>
      <c r="E173" s="51" t="s">
        <v>144</v>
      </c>
      <c r="I173" s="6">
        <f>C173*1.23</f>
        <v>9840</v>
      </c>
      <c r="J173" s="26">
        <f>B173</f>
        <v>3</v>
      </c>
    </row>
    <row r="174" spans="2:12" x14ac:dyDescent="0.25">
      <c r="B174" s="26">
        <f t="shared" si="0"/>
        <v>4</v>
      </c>
      <c r="C174" s="1">
        <f>F159*C159</f>
        <v>9000</v>
      </c>
      <c r="D174" s="6"/>
      <c r="I174" s="6">
        <f>C174*1.23</f>
        <v>11070</v>
      </c>
      <c r="J174" s="26">
        <f>B174</f>
        <v>4</v>
      </c>
    </row>
    <row r="175" spans="2:12" x14ac:dyDescent="0.25">
      <c r="B175" s="26">
        <f t="shared" si="0"/>
        <v>5</v>
      </c>
      <c r="C175" s="1">
        <f>F160*C160</f>
        <v>12000</v>
      </c>
      <c r="D175" s="6"/>
      <c r="I175" s="6">
        <f>C175*1.23</f>
        <v>14760</v>
      </c>
      <c r="J175" s="26">
        <f>B175</f>
        <v>5</v>
      </c>
    </row>
    <row r="177" spans="2:10" x14ac:dyDescent="0.25">
      <c r="B177" s="28"/>
      <c r="C177" s="4" t="s">
        <v>158</v>
      </c>
      <c r="D177" s="4"/>
      <c r="E177" s="28"/>
      <c r="G177" s="4"/>
      <c r="H177" s="4" t="s">
        <v>160</v>
      </c>
      <c r="I177" s="4"/>
      <c r="J177" s="28"/>
    </row>
    <row r="178" spans="2:10" x14ac:dyDescent="0.25">
      <c r="B178" s="26">
        <f>B171</f>
        <v>1</v>
      </c>
      <c r="C178" s="1">
        <f>I171-C171</f>
        <v>3450</v>
      </c>
      <c r="D178" s="5"/>
      <c r="I178" s="5">
        <f>C185-I185</f>
        <v>75000</v>
      </c>
      <c r="J178" s="26" t="str">
        <f>J185</f>
        <v>6)</v>
      </c>
    </row>
    <row r="179" spans="2:10" x14ac:dyDescent="0.25">
      <c r="B179" s="26">
        <f>B172</f>
        <v>2</v>
      </c>
      <c r="C179" s="1">
        <f>I172-C172</f>
        <v>1610</v>
      </c>
      <c r="D179" s="6"/>
      <c r="I179" s="6"/>
    </row>
    <row r="180" spans="2:10" x14ac:dyDescent="0.25">
      <c r="B180" s="26">
        <f>B173</f>
        <v>3</v>
      </c>
      <c r="C180" s="1">
        <f>I173-C173</f>
        <v>1840</v>
      </c>
      <c r="D180" s="6"/>
      <c r="I180" s="6"/>
    </row>
    <row r="181" spans="2:10" x14ac:dyDescent="0.25">
      <c r="B181" s="26">
        <f>B174</f>
        <v>4</v>
      </c>
      <c r="C181" s="1">
        <f>I174-C174</f>
        <v>2070</v>
      </c>
      <c r="D181" s="6"/>
      <c r="I181" s="6"/>
    </row>
    <row r="182" spans="2:10" x14ac:dyDescent="0.25">
      <c r="B182" s="26">
        <f>B175</f>
        <v>5</v>
      </c>
      <c r="C182" s="1">
        <f>I175-C175</f>
        <v>2760</v>
      </c>
      <c r="D182" s="6"/>
      <c r="I182" s="6"/>
    </row>
    <row r="184" spans="2:10" x14ac:dyDescent="0.25">
      <c r="B184" s="28"/>
      <c r="C184" s="4" t="s">
        <v>161</v>
      </c>
      <c r="D184" s="4"/>
      <c r="E184" s="28"/>
      <c r="G184" s="4"/>
      <c r="H184" s="4" t="s">
        <v>141</v>
      </c>
      <c r="I184" s="4"/>
      <c r="J184" s="28"/>
    </row>
    <row r="185" spans="2:10" x14ac:dyDescent="0.25">
      <c r="B185" s="26" t="s">
        <v>113</v>
      </c>
      <c r="C185" s="1">
        <f>(250*300)*1.23</f>
        <v>92250</v>
      </c>
      <c r="D185" s="5"/>
      <c r="I185" s="5">
        <f>250*300*0.23</f>
        <v>17250</v>
      </c>
      <c r="J185" s="26" t="str">
        <f>B185</f>
        <v>6)</v>
      </c>
    </row>
    <row r="186" spans="2:10" x14ac:dyDescent="0.25">
      <c r="D186" s="6"/>
      <c r="I186" s="6"/>
    </row>
    <row r="187" spans="2:10" x14ac:dyDescent="0.25">
      <c r="D187" s="6"/>
      <c r="I187" s="6"/>
    </row>
    <row r="188" spans="2:10" x14ac:dyDescent="0.25">
      <c r="D188" s="6"/>
      <c r="I188" s="6"/>
    </row>
    <row r="189" spans="2:10" x14ac:dyDescent="0.25">
      <c r="D189" s="6"/>
      <c r="I189" s="6"/>
    </row>
    <row r="191" spans="2:10" x14ac:dyDescent="0.25">
      <c r="B191" s="28"/>
      <c r="C191" s="4" t="s">
        <v>142</v>
      </c>
      <c r="D191" s="4"/>
      <c r="E191" s="28"/>
      <c r="G191" s="4"/>
      <c r="H191" s="4"/>
      <c r="I191" s="4"/>
      <c r="J191" s="28"/>
    </row>
    <row r="192" spans="2:10" x14ac:dyDescent="0.25">
      <c r="B192" s="48" t="str">
        <f>E171</f>
        <v>7)</v>
      </c>
      <c r="C192" s="33">
        <f>D171</f>
        <v>26562.5</v>
      </c>
      <c r="D192" s="5"/>
      <c r="I192" s="5"/>
    </row>
    <row r="193" spans="2:10" x14ac:dyDescent="0.25">
      <c r="B193" s="50" t="str">
        <f>E172</f>
        <v>7)</v>
      </c>
      <c r="C193" s="38">
        <f>D172</f>
        <v>31800</v>
      </c>
      <c r="D193" s="6"/>
      <c r="I193" s="6"/>
    </row>
    <row r="194" spans="2:10" x14ac:dyDescent="0.25">
      <c r="B194" s="51" t="str">
        <f>E173</f>
        <v>7)</v>
      </c>
      <c r="C194" s="35">
        <f>D173</f>
        <v>21000</v>
      </c>
      <c r="D194" s="6"/>
      <c r="I194" s="6"/>
    </row>
    <row r="195" spans="2:10" x14ac:dyDescent="0.25">
      <c r="D195" s="6"/>
      <c r="I195" s="6"/>
    </row>
    <row r="196" spans="2:10" x14ac:dyDescent="0.25">
      <c r="D196" s="6"/>
      <c r="I196" s="6"/>
    </row>
    <row r="197" spans="2:10" x14ac:dyDescent="0.25">
      <c r="D197" s="14"/>
      <c r="I197" s="14"/>
    </row>
    <row r="198" spans="2:10" x14ac:dyDescent="0.25">
      <c r="B198" s="27" t="s">
        <v>146</v>
      </c>
      <c r="C198" s="2"/>
      <c r="D198" s="14"/>
      <c r="I198" s="14"/>
    </row>
    <row r="199" spans="2:10" x14ac:dyDescent="0.25">
      <c r="B199" s="52" t="s">
        <v>164</v>
      </c>
      <c r="D199" s="14"/>
      <c r="I199" s="14"/>
    </row>
    <row r="201" spans="2:10" x14ac:dyDescent="0.25">
      <c r="B201" s="28"/>
      <c r="C201" s="4" t="s">
        <v>104</v>
      </c>
      <c r="D201" s="4"/>
      <c r="E201" s="28"/>
      <c r="G201" s="4"/>
      <c r="H201" s="4" t="s">
        <v>148</v>
      </c>
      <c r="I201" s="4"/>
      <c r="J201" s="28"/>
    </row>
    <row r="202" spans="2:10" x14ac:dyDescent="0.25">
      <c r="D202" s="5">
        <f>5000*1.2</f>
        <v>6000</v>
      </c>
      <c r="E202" s="26" t="s">
        <v>2</v>
      </c>
      <c r="G202" s="39" t="str">
        <f>E202</f>
        <v>1)</v>
      </c>
      <c r="H202" s="39">
        <v>5000</v>
      </c>
      <c r="I202" s="5">
        <f>H212</f>
        <v>3000</v>
      </c>
      <c r="J202" s="26" t="str">
        <f>G212</f>
        <v>2)</v>
      </c>
    </row>
    <row r="203" spans="2:10" x14ac:dyDescent="0.25">
      <c r="D203" s="6">
        <f>100000*1.19</f>
        <v>119000</v>
      </c>
      <c r="E203" s="26" t="str">
        <f>B219</f>
        <v>3)</v>
      </c>
      <c r="G203" s="4" t="str">
        <f>E204</f>
        <v>4)</v>
      </c>
      <c r="H203" s="4">
        <v>4000</v>
      </c>
      <c r="I203" s="40">
        <f>H202</f>
        <v>5000</v>
      </c>
      <c r="J203" s="41" t="s">
        <v>98</v>
      </c>
    </row>
    <row r="204" spans="2:10" x14ac:dyDescent="0.25">
      <c r="B204" s="28"/>
      <c r="C204" s="4"/>
      <c r="D204" s="9">
        <f>4000*1.2</f>
        <v>4800</v>
      </c>
      <c r="E204" s="28" t="s">
        <v>28</v>
      </c>
      <c r="H204" s="1">
        <f>SUM(H202:H203)</f>
        <v>9000</v>
      </c>
      <c r="I204" s="6">
        <f>SUM(I202:I203)</f>
        <v>8000</v>
      </c>
    </row>
    <row r="205" spans="2:10" x14ac:dyDescent="0.25">
      <c r="C205" s="1">
        <v>0</v>
      </c>
      <c r="D205" s="6">
        <f>SUM(D202:D204)</f>
        <v>129800</v>
      </c>
      <c r="G205" s="4" t="s">
        <v>31</v>
      </c>
      <c r="H205" s="4">
        <f>I202</f>
        <v>3000</v>
      </c>
      <c r="I205" s="9">
        <f>H203</f>
        <v>4000</v>
      </c>
      <c r="J205" s="28" t="s">
        <v>31</v>
      </c>
    </row>
    <row r="206" spans="2:10" ht="17.25" x14ac:dyDescent="0.4">
      <c r="B206" s="26" t="s">
        <v>31</v>
      </c>
      <c r="C206" s="1">
        <f>D205-C205</f>
        <v>129800</v>
      </c>
      <c r="D206" s="6"/>
      <c r="H206" s="10">
        <f>H204+H205</f>
        <v>12000</v>
      </c>
      <c r="I206" s="11">
        <f>I204+I205</f>
        <v>12000</v>
      </c>
    </row>
    <row r="207" spans="2:10" x14ac:dyDescent="0.25">
      <c r="D207" s="6"/>
      <c r="G207" s="1" t="s">
        <v>165</v>
      </c>
      <c r="I207" s="6"/>
    </row>
    <row r="208" spans="2:10" x14ac:dyDescent="0.25">
      <c r="D208" s="6"/>
      <c r="G208" s="1" t="s">
        <v>166</v>
      </c>
      <c r="I208" s="6"/>
    </row>
    <row r="209" spans="2:11" x14ac:dyDescent="0.25">
      <c r="D209" s="6"/>
      <c r="I209" s="6"/>
    </row>
    <row r="210" spans="2:11" x14ac:dyDescent="0.25">
      <c r="B210" s="1"/>
      <c r="D210" s="6"/>
      <c r="I210" s="6"/>
    </row>
    <row r="211" spans="2:11" x14ac:dyDescent="0.25">
      <c r="B211" s="28"/>
      <c r="C211" s="4" t="s">
        <v>158</v>
      </c>
      <c r="D211" s="4"/>
      <c r="E211" s="28"/>
      <c r="G211" s="4"/>
      <c r="H211" s="4" t="s">
        <v>137</v>
      </c>
      <c r="I211" s="4"/>
      <c r="J211" s="28"/>
    </row>
    <row r="212" spans="2:11" x14ac:dyDescent="0.25">
      <c r="B212" s="26" t="str">
        <f>G202</f>
        <v>1)</v>
      </c>
      <c r="C212" s="1">
        <f>D202-H202</f>
        <v>1000</v>
      </c>
      <c r="D212" s="5"/>
      <c r="G212" s="1" t="s">
        <v>7</v>
      </c>
      <c r="H212" s="1">
        <v>3000</v>
      </c>
      <c r="I212" s="5"/>
    </row>
    <row r="213" spans="2:11" x14ac:dyDescent="0.25">
      <c r="B213" s="26" t="str">
        <f>B219</f>
        <v>3)</v>
      </c>
      <c r="C213" s="1">
        <f>D203-C219</f>
        <v>19000</v>
      </c>
      <c r="D213" s="6"/>
      <c r="G213" s="4" t="s">
        <v>98</v>
      </c>
      <c r="H213" s="4">
        <f>I203</f>
        <v>5000</v>
      </c>
      <c r="I213" s="9"/>
      <c r="J213" s="28"/>
    </row>
    <row r="214" spans="2:11" x14ac:dyDescent="0.25">
      <c r="B214" s="28" t="str">
        <f>E204</f>
        <v>4)</v>
      </c>
      <c r="C214" s="4">
        <f>D204-H203</f>
        <v>800</v>
      </c>
      <c r="D214" s="9"/>
      <c r="E214" s="28"/>
      <c r="H214" s="1">
        <f>SUM(H212:H213)</f>
        <v>8000</v>
      </c>
      <c r="I214" s="6">
        <v>0</v>
      </c>
    </row>
    <row r="215" spans="2:11" x14ac:dyDescent="0.25">
      <c r="C215" s="1">
        <f>SUM(C212:C214)</f>
        <v>20800</v>
      </c>
      <c r="D215" s="6">
        <v>0</v>
      </c>
      <c r="I215" s="6">
        <f>H214-I214</f>
        <v>8000</v>
      </c>
      <c r="J215" s="26" t="s">
        <v>31</v>
      </c>
    </row>
    <row r="216" spans="2:11" x14ac:dyDescent="0.25">
      <c r="D216" s="6">
        <f>C215-D215</f>
        <v>20800</v>
      </c>
      <c r="E216" s="26" t="s">
        <v>31</v>
      </c>
      <c r="I216" s="6"/>
    </row>
    <row r="218" spans="2:11" x14ac:dyDescent="0.25">
      <c r="B218" s="28"/>
      <c r="C218" s="4" t="s">
        <v>114</v>
      </c>
      <c r="D218" s="4"/>
      <c r="E218" s="28"/>
      <c r="G218" s="4"/>
      <c r="H218" s="4"/>
      <c r="I218" s="4"/>
      <c r="J218" s="28"/>
    </row>
    <row r="219" spans="2:11" x14ac:dyDescent="0.25">
      <c r="B219" s="29" t="s">
        <v>9</v>
      </c>
      <c r="C219" s="7">
        <v>100000</v>
      </c>
      <c r="D219" s="8"/>
      <c r="E219" s="29"/>
      <c r="I219" s="5"/>
    </row>
    <row r="220" spans="2:11" x14ac:dyDescent="0.25">
      <c r="C220" s="1">
        <f>C219</f>
        <v>100000</v>
      </c>
      <c r="D220" s="6">
        <v>0</v>
      </c>
      <c r="I220" s="6"/>
    </row>
    <row r="221" spans="2:11" x14ac:dyDescent="0.25">
      <c r="D221" s="6">
        <f>C220-D220</f>
        <v>100000</v>
      </c>
      <c r="E221" s="26" t="s">
        <v>31</v>
      </c>
      <c r="I221" s="6"/>
    </row>
    <row r="222" spans="2:11" x14ac:dyDescent="0.25">
      <c r="D222" s="6"/>
      <c r="I222" s="6"/>
    </row>
    <row r="223" spans="2:11" x14ac:dyDescent="0.25">
      <c r="D223" s="6"/>
      <c r="I223" s="6"/>
    </row>
    <row r="224" spans="2:11" x14ac:dyDescent="0.25">
      <c r="B224" s="178" t="s">
        <v>12</v>
      </c>
      <c r="C224" s="179"/>
      <c r="D224" s="179"/>
      <c r="E224" s="179"/>
      <c r="F224" s="179"/>
      <c r="G224" s="179"/>
      <c r="H224" s="179"/>
      <c r="I224" s="179"/>
      <c r="J224" s="179"/>
      <c r="K224" s="13"/>
    </row>
    <row r="225" spans="2:12" x14ac:dyDescent="0.25">
      <c r="B225" s="178" t="s">
        <v>14</v>
      </c>
      <c r="C225" s="179"/>
      <c r="D225" s="179"/>
      <c r="E225" s="179"/>
      <c r="F225" s="179"/>
      <c r="G225" s="179" t="s">
        <v>15</v>
      </c>
      <c r="H225" s="179"/>
      <c r="I225" s="179"/>
      <c r="J225" s="179"/>
      <c r="K225" s="13"/>
    </row>
    <row r="226" spans="2:12" x14ac:dyDescent="0.25">
      <c r="B226" s="42"/>
      <c r="C226" s="14" t="s">
        <v>167</v>
      </c>
      <c r="D226" s="14"/>
      <c r="E226" s="30"/>
      <c r="F226" s="14"/>
      <c r="G226" s="14"/>
      <c r="H226" s="14" t="s">
        <v>16</v>
      </c>
      <c r="I226" s="14"/>
      <c r="J226" s="30"/>
      <c r="K226" s="15">
        <v>0</v>
      </c>
    </row>
    <row r="227" spans="2:12" x14ac:dyDescent="0.25">
      <c r="B227" s="42"/>
      <c r="C227" s="14" t="str">
        <f>C218</f>
        <v>Środki trwałe w budowie</v>
      </c>
      <c r="D227" s="14"/>
      <c r="E227" s="30"/>
      <c r="F227" s="14">
        <f>D221</f>
        <v>100000</v>
      </c>
      <c r="G227" s="14"/>
      <c r="H227" s="14" t="s">
        <v>33</v>
      </c>
      <c r="I227" s="14"/>
      <c r="J227" s="30"/>
      <c r="K227" s="15">
        <v>0</v>
      </c>
    </row>
    <row r="228" spans="2:12" x14ac:dyDescent="0.25">
      <c r="B228" s="42"/>
      <c r="C228" s="14" t="s">
        <v>154</v>
      </c>
      <c r="D228" s="14"/>
      <c r="E228" s="30"/>
      <c r="F228" s="14"/>
      <c r="G228" s="14"/>
      <c r="H228" s="14" t="s">
        <v>34</v>
      </c>
      <c r="I228" s="14"/>
      <c r="J228" s="30"/>
      <c r="K228" s="15"/>
    </row>
    <row r="229" spans="2:12" x14ac:dyDescent="0.25">
      <c r="B229" s="42"/>
      <c r="C229" s="14" t="str">
        <f>H211</f>
        <v>Towary</v>
      </c>
      <c r="D229" s="14"/>
      <c r="E229" s="30"/>
      <c r="F229" s="14">
        <f>I215</f>
        <v>8000</v>
      </c>
      <c r="G229" s="14"/>
      <c r="H229" s="14" t="str">
        <f>C201</f>
        <v>Zobowiązania wobec kontrahentów</v>
      </c>
      <c r="I229" s="14"/>
      <c r="J229" s="30"/>
      <c r="K229" s="15">
        <f>C206</f>
        <v>129800</v>
      </c>
    </row>
    <row r="230" spans="2:12" x14ac:dyDescent="0.25">
      <c r="B230" s="42"/>
      <c r="C230" s="14" t="str">
        <f>C211</f>
        <v>VAT naliczony</v>
      </c>
      <c r="D230" s="14"/>
      <c r="E230" s="30"/>
      <c r="F230" s="14">
        <f>D216</f>
        <v>20800</v>
      </c>
      <c r="G230" s="14"/>
      <c r="H230" s="14" t="s">
        <v>152</v>
      </c>
      <c r="I230" s="14"/>
      <c r="J230" s="30"/>
      <c r="K230" s="15">
        <f>H205</f>
        <v>3000</v>
      </c>
    </row>
    <row r="231" spans="2:12" x14ac:dyDescent="0.25">
      <c r="B231" s="42"/>
      <c r="C231" s="14" t="s">
        <v>168</v>
      </c>
      <c r="D231" s="14"/>
      <c r="E231" s="30"/>
      <c r="F231" s="14">
        <f>I205</f>
        <v>4000</v>
      </c>
      <c r="G231" s="14"/>
      <c r="H231" s="14"/>
      <c r="I231" s="14"/>
      <c r="J231" s="30"/>
      <c r="K231" s="15"/>
    </row>
    <row r="232" spans="2:12" x14ac:dyDescent="0.25">
      <c r="B232" s="43"/>
      <c r="C232" s="4"/>
      <c r="D232" s="4"/>
      <c r="E232" s="28"/>
      <c r="F232" s="4"/>
      <c r="G232" s="4"/>
      <c r="H232" s="4"/>
      <c r="I232" s="4"/>
      <c r="J232" s="28"/>
      <c r="K232" s="16"/>
    </row>
    <row r="233" spans="2:12" x14ac:dyDescent="0.25">
      <c r="B233" s="44" t="s">
        <v>42</v>
      </c>
      <c r="C233" s="23"/>
      <c r="D233" s="23"/>
      <c r="E233" s="45"/>
      <c r="F233" s="23">
        <f>SUM(F227:F231)</f>
        <v>132800</v>
      </c>
      <c r="G233" s="23" t="s">
        <v>42</v>
      </c>
      <c r="H233" s="23"/>
      <c r="I233" s="4"/>
      <c r="J233" s="28"/>
      <c r="K233" s="24">
        <f>K226+K229+K230</f>
        <v>132800</v>
      </c>
    </row>
    <row r="234" spans="2:12" x14ac:dyDescent="0.25">
      <c r="L234" s="1">
        <f>F233-K233</f>
        <v>0</v>
      </c>
    </row>
    <row r="235" spans="2:12" x14ac:dyDescent="0.25">
      <c r="B235" s="27" t="s">
        <v>182</v>
      </c>
      <c r="C235" s="2"/>
    </row>
    <row r="238" spans="2:12" x14ac:dyDescent="0.25">
      <c r="B238" s="28"/>
      <c r="C238" s="4" t="s">
        <v>196</v>
      </c>
      <c r="D238" s="4"/>
      <c r="E238" s="28"/>
      <c r="G238" s="28"/>
      <c r="H238" s="4" t="s">
        <v>173</v>
      </c>
      <c r="I238" s="4"/>
      <c r="J238" s="28"/>
    </row>
    <row r="239" spans="2:12" x14ac:dyDescent="0.25">
      <c r="B239" s="26" t="s">
        <v>2</v>
      </c>
      <c r="C239" s="1">
        <v>100000</v>
      </c>
      <c r="D239" s="5">
        <f>C239</f>
        <v>100000</v>
      </c>
      <c r="E239" s="26" t="s">
        <v>9</v>
      </c>
      <c r="G239" s="26"/>
      <c r="I239" s="5">
        <f>C239</f>
        <v>100000</v>
      </c>
      <c r="J239" s="26" t="str">
        <f>B239</f>
        <v>1)</v>
      </c>
    </row>
    <row r="240" spans="2:12" x14ac:dyDescent="0.25">
      <c r="B240" s="26" t="s">
        <v>7</v>
      </c>
      <c r="C240" s="1">
        <v>200000</v>
      </c>
      <c r="D240" s="36">
        <f>C257</f>
        <v>200000</v>
      </c>
      <c r="E240" s="51" t="str">
        <f>B257</f>
        <v>7)</v>
      </c>
      <c r="G240" s="26"/>
      <c r="I240" s="66" t="s">
        <v>197</v>
      </c>
    </row>
    <row r="241" spans="2:10" x14ac:dyDescent="0.25">
      <c r="D241" s="6" t="s">
        <v>202</v>
      </c>
      <c r="G241" s="26"/>
      <c r="I241" s="66" t="s">
        <v>198</v>
      </c>
    </row>
    <row r="242" spans="2:10" x14ac:dyDescent="0.25">
      <c r="D242" s="6" t="s">
        <v>203</v>
      </c>
      <c r="G242" s="26"/>
      <c r="I242" s="6" t="s">
        <v>199</v>
      </c>
    </row>
    <row r="243" spans="2:10" x14ac:dyDescent="0.25">
      <c r="D243" s="6" t="s">
        <v>204</v>
      </c>
      <c r="G243" s="26"/>
      <c r="I243" s="6">
        <f>C240</f>
        <v>200000</v>
      </c>
      <c r="J243" s="26" t="str">
        <f>B240</f>
        <v>2)</v>
      </c>
    </row>
    <row r="244" spans="2:10" x14ac:dyDescent="0.25">
      <c r="D244" s="6"/>
      <c r="G244" s="26"/>
      <c r="I244" s="6"/>
    </row>
    <row r="246" spans="2:10" x14ac:dyDescent="0.25">
      <c r="B246" s="28"/>
      <c r="C246" s="4" t="s">
        <v>137</v>
      </c>
      <c r="D246" s="4"/>
      <c r="E246" s="28"/>
      <c r="G246" s="28"/>
      <c r="H246" s="4" t="s">
        <v>142</v>
      </c>
      <c r="I246" s="4"/>
      <c r="J246" s="28"/>
    </row>
    <row r="247" spans="2:10" x14ac:dyDescent="0.25">
      <c r="B247" s="26" t="s">
        <v>101</v>
      </c>
      <c r="C247" s="1" t="s">
        <v>100</v>
      </c>
      <c r="D247" s="5">
        <f>I239*(1-0.4)</f>
        <v>60000</v>
      </c>
      <c r="E247" s="26" t="s">
        <v>185</v>
      </c>
      <c r="G247" s="26" t="str">
        <f>E247</f>
        <v>1a)</v>
      </c>
      <c r="H247" s="1">
        <f>D247</f>
        <v>60000</v>
      </c>
      <c r="I247" s="5"/>
    </row>
    <row r="248" spans="2:10" x14ac:dyDescent="0.25">
      <c r="D248" s="6" t="s">
        <v>200</v>
      </c>
      <c r="G248" s="26" t="str">
        <f>E249</f>
        <v>2a)</v>
      </c>
      <c r="H248" s="1">
        <f>D249</f>
        <v>120000</v>
      </c>
      <c r="I248" s="6"/>
    </row>
    <row r="249" spans="2:10" x14ac:dyDescent="0.25">
      <c r="D249" s="6">
        <f>I243*(1-0.4)</f>
        <v>120000</v>
      </c>
      <c r="E249" s="26" t="s">
        <v>190</v>
      </c>
      <c r="G249" s="26"/>
      <c r="I249" s="6"/>
    </row>
    <row r="250" spans="2:10" x14ac:dyDescent="0.25">
      <c r="D250" s="6"/>
      <c r="G250" s="26"/>
      <c r="I250" s="6"/>
    </row>
    <row r="251" spans="2:10" x14ac:dyDescent="0.25">
      <c r="D251" s="6"/>
      <c r="G251" s="26"/>
      <c r="I251" s="6"/>
    </row>
    <row r="252" spans="2:10" x14ac:dyDescent="0.25">
      <c r="D252" s="6"/>
      <c r="G252" s="26"/>
      <c r="I252" s="6"/>
    </row>
    <row r="254" spans="2:10" x14ac:dyDescent="0.25">
      <c r="B254" s="28"/>
      <c r="C254" s="4" t="s">
        <v>192</v>
      </c>
      <c r="D254" s="4"/>
      <c r="E254" s="28"/>
      <c r="G254" s="28"/>
      <c r="H254" s="4" t="s">
        <v>26</v>
      </c>
      <c r="I254" s="4"/>
      <c r="J254" s="28"/>
    </row>
    <row r="255" spans="2:10" x14ac:dyDescent="0.25">
      <c r="B255" s="26" t="str">
        <f>E239</f>
        <v>3)</v>
      </c>
      <c r="C255" s="1">
        <f>D239*(1-0.1)</f>
        <v>90000</v>
      </c>
      <c r="D255" s="5">
        <f>C255</f>
        <v>90000</v>
      </c>
      <c r="E255" s="26" t="s">
        <v>28</v>
      </c>
      <c r="G255" s="26" t="str">
        <f>B255</f>
        <v>3)</v>
      </c>
      <c r="H255" s="1">
        <f>D239-C255</f>
        <v>10000</v>
      </c>
      <c r="I255" s="5"/>
    </row>
    <row r="256" spans="2:10" x14ac:dyDescent="0.25">
      <c r="B256" s="26" t="str">
        <f>E263</f>
        <v>6)</v>
      </c>
      <c r="C256" s="64">
        <f>D256</f>
        <v>100000</v>
      </c>
      <c r="D256" s="67">
        <f>C264</f>
        <v>100000</v>
      </c>
      <c r="E256" s="26" t="str">
        <f>B264</f>
        <v>5)</v>
      </c>
      <c r="G256" s="26" t="str">
        <f>B265</f>
        <v>7a)</v>
      </c>
      <c r="H256" s="1">
        <f>C257*0.05</f>
        <v>10000</v>
      </c>
      <c r="I256" s="6"/>
    </row>
    <row r="257" spans="2:10" x14ac:dyDescent="0.25">
      <c r="B257" s="51" t="s">
        <v>144</v>
      </c>
      <c r="C257" s="35">
        <f>C240</f>
        <v>200000</v>
      </c>
      <c r="D257" s="6">
        <f>C265+H256</f>
        <v>200000</v>
      </c>
      <c r="E257" s="26" t="str">
        <f>G256</f>
        <v>7a)</v>
      </c>
      <c r="G257" s="26"/>
      <c r="I257" s="6"/>
    </row>
    <row r="258" spans="2:10" x14ac:dyDescent="0.25">
      <c r="D258" s="6" t="s">
        <v>207</v>
      </c>
      <c r="G258" s="26"/>
      <c r="I258" s="6"/>
    </row>
    <row r="259" spans="2:10" x14ac:dyDescent="0.25">
      <c r="D259" s="6" t="s">
        <v>208</v>
      </c>
      <c r="G259" s="26"/>
      <c r="I259" s="6"/>
    </row>
    <row r="260" spans="2:10" x14ac:dyDescent="0.25">
      <c r="D260" s="6" t="s">
        <v>209</v>
      </c>
      <c r="G260" s="26"/>
      <c r="I260" s="6"/>
    </row>
    <row r="262" spans="2:10" x14ac:dyDescent="0.25">
      <c r="B262" s="28"/>
      <c r="C262" s="4" t="s">
        <v>6</v>
      </c>
      <c r="D262" s="4"/>
      <c r="E262" s="28"/>
      <c r="G262" s="28"/>
      <c r="H262" s="4"/>
      <c r="I262" s="4"/>
      <c r="J262" s="28"/>
    </row>
    <row r="263" spans="2:10" x14ac:dyDescent="0.25">
      <c r="B263" s="26" t="str">
        <f>E255</f>
        <v>4)</v>
      </c>
      <c r="C263" s="1">
        <f>D255</f>
        <v>90000</v>
      </c>
      <c r="D263" s="65">
        <f>C264</f>
        <v>100000</v>
      </c>
      <c r="E263" s="26" t="s">
        <v>113</v>
      </c>
      <c r="G263" s="26"/>
      <c r="I263" s="5"/>
    </row>
    <row r="264" spans="2:10" x14ac:dyDescent="0.25">
      <c r="B264" s="26" t="s">
        <v>98</v>
      </c>
      <c r="C264" s="33">
        <v>100000</v>
      </c>
      <c r="D264" s="6"/>
      <c r="G264" s="26"/>
      <c r="I264" s="6"/>
    </row>
    <row r="265" spans="2:10" x14ac:dyDescent="0.25">
      <c r="B265" s="26" t="s">
        <v>201</v>
      </c>
      <c r="C265" s="68">
        <f>C257*0.95</f>
        <v>190000</v>
      </c>
      <c r="D265" s="6"/>
      <c r="G265" s="26"/>
      <c r="I265" s="6"/>
    </row>
    <row r="266" spans="2:10" x14ac:dyDescent="0.25">
      <c r="C266" s="1" t="s">
        <v>205</v>
      </c>
      <c r="D266" s="6"/>
      <c r="G266" s="26"/>
      <c r="I266" s="6"/>
    </row>
    <row r="267" spans="2:10" x14ac:dyDescent="0.25">
      <c r="C267" s="1" t="s">
        <v>206</v>
      </c>
      <c r="D267" s="6"/>
      <c r="G267" s="26"/>
      <c r="I267" s="6"/>
    </row>
    <row r="268" spans="2:10" x14ac:dyDescent="0.25">
      <c r="D268" s="6"/>
      <c r="G268" s="26"/>
      <c r="I268" s="6"/>
    </row>
    <row r="269" spans="2:10" x14ac:dyDescent="0.25">
      <c r="B269" s="27" t="s">
        <v>216</v>
      </c>
      <c r="C269" s="2"/>
      <c r="F269" s="1">
        <f>D272+D280</f>
        <v>7602</v>
      </c>
    </row>
    <row r="270" spans="2:10" x14ac:dyDescent="0.25">
      <c r="F270" s="1">
        <f>H273</f>
        <v>7980</v>
      </c>
    </row>
    <row r="271" spans="2:10" x14ac:dyDescent="0.25">
      <c r="B271" s="28"/>
      <c r="C271" s="4" t="s">
        <v>227</v>
      </c>
      <c r="D271" s="4"/>
      <c r="E271" s="28"/>
      <c r="F271" s="1">
        <f>F270-F269</f>
        <v>378</v>
      </c>
      <c r="G271" s="28"/>
      <c r="H271" s="4" t="s">
        <v>6</v>
      </c>
      <c r="I271" s="4"/>
      <c r="J271" s="28"/>
    </row>
    <row r="272" spans="2:10" x14ac:dyDescent="0.25">
      <c r="B272" s="26" t="s">
        <v>2</v>
      </c>
      <c r="C272" s="1">
        <f>2000*4</f>
        <v>8000</v>
      </c>
      <c r="D272" s="63">
        <f>(1900-20)*4</f>
        <v>7520</v>
      </c>
      <c r="E272" s="50" t="str">
        <f>G273</f>
        <v>3)</v>
      </c>
      <c r="G272" s="26" t="s">
        <v>101</v>
      </c>
      <c r="H272" s="1">
        <v>8000</v>
      </c>
      <c r="I272" s="5">
        <f>H272</f>
        <v>8000</v>
      </c>
      <c r="J272" s="26" t="str">
        <f>B272</f>
        <v>1)</v>
      </c>
    </row>
    <row r="273" spans="2:10" x14ac:dyDescent="0.25">
      <c r="B273" s="51" t="str">
        <f>E273</f>
        <v>3*)</v>
      </c>
      <c r="C273" s="35">
        <f>D273-D272</f>
        <v>376</v>
      </c>
      <c r="D273" s="36">
        <f>(1900-20)*4.2</f>
        <v>7896</v>
      </c>
      <c r="E273" s="51" t="s">
        <v>218</v>
      </c>
      <c r="G273" s="50" t="s">
        <v>9</v>
      </c>
      <c r="H273" s="38">
        <f>1900*4.2</f>
        <v>7980</v>
      </c>
      <c r="I273" s="6"/>
    </row>
    <row r="274" spans="2:10" x14ac:dyDescent="0.25">
      <c r="D274" s="6"/>
      <c r="G274" s="51" t="str">
        <f>E273</f>
        <v>3*)</v>
      </c>
      <c r="H274" s="35">
        <f>H273</f>
        <v>7980</v>
      </c>
      <c r="I274" s="6"/>
    </row>
    <row r="275" spans="2:10" x14ac:dyDescent="0.25">
      <c r="D275" s="6"/>
      <c r="G275" s="26" t="s">
        <v>28</v>
      </c>
      <c r="H275" s="1">
        <f>D288</f>
        <v>12150</v>
      </c>
      <c r="I275" s="6"/>
    </row>
    <row r="276" spans="2:10" x14ac:dyDescent="0.25">
      <c r="D276" s="6"/>
      <c r="G276" s="26"/>
      <c r="I276" s="6"/>
    </row>
    <row r="277" spans="2:10" x14ac:dyDescent="0.25">
      <c r="D277" s="6"/>
      <c r="G277" s="26"/>
      <c r="I277" s="6"/>
    </row>
    <row r="279" spans="2:10" x14ac:dyDescent="0.25">
      <c r="B279" s="28"/>
      <c r="C279" s="4" t="s">
        <v>228</v>
      </c>
      <c r="D279" s="4"/>
      <c r="E279" s="28"/>
      <c r="G279" s="28"/>
      <c r="H279" s="4" t="s">
        <v>217</v>
      </c>
      <c r="I279" s="4"/>
      <c r="J279" s="28"/>
    </row>
    <row r="280" spans="2:10" x14ac:dyDescent="0.25">
      <c r="B280" s="26" t="s">
        <v>7</v>
      </c>
      <c r="C280" s="1">
        <f>20*4.1</f>
        <v>82</v>
      </c>
      <c r="D280" s="63">
        <f>C280</f>
        <v>82</v>
      </c>
      <c r="E280" s="50" t="str">
        <f>E272</f>
        <v>3)</v>
      </c>
      <c r="G280" s="26"/>
      <c r="I280" s="5">
        <f>C280</f>
        <v>82</v>
      </c>
      <c r="J280" s="26" t="str">
        <f>B280</f>
        <v>2)</v>
      </c>
    </row>
    <row r="281" spans="2:10" x14ac:dyDescent="0.25">
      <c r="B281" s="51" t="str">
        <f>E281</f>
        <v>3*)</v>
      </c>
      <c r="C281" s="35">
        <v>2</v>
      </c>
      <c r="D281" s="36">
        <f>20*4.2</f>
        <v>84</v>
      </c>
      <c r="E281" s="51" t="str">
        <f>E273</f>
        <v>3*)</v>
      </c>
      <c r="G281" s="26"/>
      <c r="I281" s="49">
        <f>F271</f>
        <v>378</v>
      </c>
      <c r="J281" s="50" t="str">
        <f>E272</f>
        <v>3)</v>
      </c>
    </row>
    <row r="282" spans="2:10" x14ac:dyDescent="0.25">
      <c r="D282" s="6"/>
      <c r="G282" s="26"/>
      <c r="I282" s="36">
        <f>C273+C281</f>
        <v>378</v>
      </c>
      <c r="J282" s="51" t="str">
        <f>E281</f>
        <v>3*)</v>
      </c>
    </row>
    <row r="283" spans="2:10" x14ac:dyDescent="0.25">
      <c r="D283" s="6"/>
      <c r="G283" s="26"/>
      <c r="I283" s="6"/>
    </row>
    <row r="284" spans="2:10" x14ac:dyDescent="0.25">
      <c r="D284" s="6"/>
      <c r="G284" s="26"/>
      <c r="I284" s="6"/>
    </row>
    <row r="285" spans="2:10" x14ac:dyDescent="0.25">
      <c r="D285" s="6"/>
      <c r="G285" s="26"/>
      <c r="I285" s="6"/>
    </row>
    <row r="287" spans="2:10" x14ac:dyDescent="0.25">
      <c r="B287" s="28"/>
      <c r="C287" s="4" t="s">
        <v>219</v>
      </c>
      <c r="D287" s="4"/>
      <c r="E287" s="28"/>
      <c r="G287" s="28"/>
      <c r="H287" s="4" t="s">
        <v>229</v>
      </c>
      <c r="I287" s="4"/>
      <c r="J287" s="28"/>
    </row>
    <row r="288" spans="2:10" x14ac:dyDescent="0.25">
      <c r="D288" s="5">
        <f>3000*4.05</f>
        <v>12150</v>
      </c>
      <c r="E288" s="26" t="str">
        <f>G275</f>
        <v>4)</v>
      </c>
      <c r="G288" s="26" t="s">
        <v>113</v>
      </c>
      <c r="H288" s="1">
        <f>I288</f>
        <v>20.75</v>
      </c>
      <c r="I288" s="5">
        <f>5*4.15</f>
        <v>20.75</v>
      </c>
      <c r="J288" s="26" t="s">
        <v>98</v>
      </c>
    </row>
    <row r="289" spans="2:10" x14ac:dyDescent="0.25">
      <c r="D289" s="6">
        <f>H288</f>
        <v>20.75</v>
      </c>
      <c r="E289" s="26" t="str">
        <f>G288</f>
        <v>6)</v>
      </c>
      <c r="G289" s="26"/>
      <c r="I289" s="6"/>
    </row>
    <row r="290" spans="2:10" x14ac:dyDescent="0.25">
      <c r="D290" s="6"/>
      <c r="G290" s="26"/>
      <c r="I290" s="6"/>
    </row>
    <row r="291" spans="2:10" x14ac:dyDescent="0.25">
      <c r="D291" s="6"/>
      <c r="G291" s="26"/>
      <c r="I291" s="6"/>
    </row>
    <row r="292" spans="2:10" x14ac:dyDescent="0.25">
      <c r="D292" s="6"/>
      <c r="G292" s="26"/>
      <c r="I292" s="6"/>
    </row>
    <row r="293" spans="2:10" x14ac:dyDescent="0.25">
      <c r="D293" s="6"/>
      <c r="G293" s="26"/>
      <c r="I293" s="6"/>
    </row>
    <row r="295" spans="2:10" x14ac:dyDescent="0.25">
      <c r="B295" s="28"/>
      <c r="C295" s="4" t="s">
        <v>230</v>
      </c>
      <c r="D295" s="4"/>
      <c r="E295" s="28"/>
      <c r="G295" s="28"/>
      <c r="H295" s="4"/>
      <c r="I295" s="4"/>
      <c r="J295" s="28"/>
    </row>
    <row r="296" spans="2:10" x14ac:dyDescent="0.25">
      <c r="B296" s="26" t="str">
        <f>J288</f>
        <v>5)</v>
      </c>
      <c r="C296" s="1">
        <f>I288</f>
        <v>20.75</v>
      </c>
      <c r="D296" s="5"/>
      <c r="G296" s="26"/>
      <c r="I296" s="5"/>
    </row>
    <row r="297" spans="2:10" x14ac:dyDescent="0.25">
      <c r="D297" s="6"/>
      <c r="G297" s="26"/>
      <c r="I297" s="6"/>
    </row>
    <row r="298" spans="2:10" x14ac:dyDescent="0.25">
      <c r="D298" s="6"/>
      <c r="G298" s="26"/>
      <c r="I298" s="6"/>
    </row>
    <row r="299" spans="2:10" x14ac:dyDescent="0.25">
      <c r="D299" s="6"/>
      <c r="G299" s="26"/>
      <c r="I299" s="6"/>
    </row>
    <row r="300" spans="2:10" x14ac:dyDescent="0.25">
      <c r="D300" s="6"/>
      <c r="G300" s="26"/>
      <c r="I300" s="6"/>
    </row>
    <row r="301" spans="2:10" x14ac:dyDescent="0.25">
      <c r="B301" s="27" t="s">
        <v>220</v>
      </c>
      <c r="C301" s="2"/>
      <c r="D301" s="6"/>
      <c r="G301" s="26"/>
      <c r="I301" s="6"/>
    </row>
    <row r="303" spans="2:10" x14ac:dyDescent="0.25">
      <c r="B303" s="28"/>
      <c r="C303" s="4" t="s">
        <v>137</v>
      </c>
      <c r="D303" s="4"/>
      <c r="E303" s="28"/>
      <c r="G303" s="28"/>
      <c r="H303" s="4" t="s">
        <v>104</v>
      </c>
      <c r="I303" s="4"/>
      <c r="J303" s="28"/>
    </row>
    <row r="304" spans="2:10" x14ac:dyDescent="0.25">
      <c r="B304" s="26" t="s">
        <v>2</v>
      </c>
      <c r="C304" s="1">
        <v>5000</v>
      </c>
      <c r="D304" s="5">
        <v>5000</v>
      </c>
      <c r="E304" s="26" t="s">
        <v>28</v>
      </c>
      <c r="G304" s="26" t="str">
        <f>J312</f>
        <v>2)</v>
      </c>
      <c r="H304" s="1">
        <f>I304</f>
        <v>6150</v>
      </c>
      <c r="I304" s="5">
        <f>5000*1.23</f>
        <v>6150</v>
      </c>
      <c r="J304" s="26" t="str">
        <f>B304</f>
        <v>1)</v>
      </c>
    </row>
    <row r="305" spans="2:10" x14ac:dyDescent="0.25">
      <c r="B305" s="26" t="s">
        <v>113</v>
      </c>
      <c r="C305" s="1">
        <v>6000</v>
      </c>
      <c r="D305" s="6"/>
      <c r="G305" s="26" t="s">
        <v>144</v>
      </c>
      <c r="H305" s="1">
        <f>I305</f>
        <v>7380</v>
      </c>
      <c r="I305" s="6">
        <f>C305*1.23</f>
        <v>7380</v>
      </c>
      <c r="J305" s="26" t="str">
        <f>B305</f>
        <v>6)</v>
      </c>
    </row>
    <row r="306" spans="2:10" x14ac:dyDescent="0.25">
      <c r="D306" s="6"/>
      <c r="G306" s="26"/>
      <c r="I306" s="6"/>
    </row>
    <row r="307" spans="2:10" x14ac:dyDescent="0.25">
      <c r="D307" s="6"/>
      <c r="G307" s="26"/>
      <c r="I307" s="6"/>
    </row>
    <row r="308" spans="2:10" x14ac:dyDescent="0.25">
      <c r="D308" s="6"/>
      <c r="G308" s="26"/>
      <c r="I308" s="6"/>
    </row>
    <row r="309" spans="2:10" x14ac:dyDescent="0.25">
      <c r="D309" s="6"/>
      <c r="G309" s="26"/>
      <c r="I309" s="6"/>
    </row>
    <row r="311" spans="2:10" x14ac:dyDescent="0.25">
      <c r="B311" s="28"/>
      <c r="C311" s="4" t="s">
        <v>158</v>
      </c>
      <c r="D311" s="4"/>
      <c r="E311" s="28"/>
      <c r="G311" s="28"/>
      <c r="H311" s="4" t="s">
        <v>221</v>
      </c>
      <c r="I311" s="4"/>
      <c r="J311" s="28"/>
    </row>
    <row r="312" spans="2:10" x14ac:dyDescent="0.25">
      <c r="B312" s="26" t="str">
        <f>B304</f>
        <v>1)</v>
      </c>
      <c r="C312" s="1">
        <f>I304-C304</f>
        <v>1150</v>
      </c>
      <c r="D312" s="5"/>
      <c r="G312" s="26"/>
      <c r="I312" s="5">
        <v>6500</v>
      </c>
      <c r="J312" s="26" t="s">
        <v>7</v>
      </c>
    </row>
    <row r="313" spans="2:10" x14ac:dyDescent="0.25">
      <c r="B313" s="26" t="str">
        <f>J305</f>
        <v>6)</v>
      </c>
      <c r="C313" s="1">
        <f>I305-C305</f>
        <v>1380</v>
      </c>
      <c r="D313" s="6"/>
      <c r="G313" s="26"/>
      <c r="I313" s="6"/>
    </row>
    <row r="314" spans="2:10" x14ac:dyDescent="0.25">
      <c r="D314" s="6"/>
      <c r="G314" s="26"/>
      <c r="I314" s="6"/>
    </row>
    <row r="315" spans="2:10" x14ac:dyDescent="0.25">
      <c r="D315" s="6"/>
      <c r="G315" s="26"/>
      <c r="I315" s="6"/>
    </row>
    <row r="316" spans="2:10" x14ac:dyDescent="0.25">
      <c r="D316" s="6"/>
      <c r="G316" s="26"/>
      <c r="I316" s="6"/>
    </row>
    <row r="317" spans="2:10" x14ac:dyDescent="0.25">
      <c r="D317" s="6"/>
      <c r="G317" s="26"/>
      <c r="I317" s="6"/>
    </row>
    <row r="319" spans="2:10" x14ac:dyDescent="0.25">
      <c r="B319" s="28"/>
      <c r="C319" s="4" t="s">
        <v>26</v>
      </c>
      <c r="D319" s="4"/>
      <c r="E319" s="28"/>
      <c r="G319" s="28"/>
      <c r="H319" s="4" t="s">
        <v>139</v>
      </c>
      <c r="I319" s="4"/>
      <c r="J319" s="28"/>
    </row>
    <row r="320" spans="2:10" x14ac:dyDescent="0.25">
      <c r="B320" s="26" t="str">
        <f>J312</f>
        <v>2)</v>
      </c>
      <c r="C320" s="1">
        <f>I312-H304</f>
        <v>350</v>
      </c>
      <c r="D320" s="5"/>
      <c r="G320" s="26" t="s">
        <v>9</v>
      </c>
      <c r="H320" s="1">
        <f>7000*1.23</f>
        <v>8610</v>
      </c>
      <c r="I320" s="5">
        <f>H320</f>
        <v>8610</v>
      </c>
      <c r="J320" s="26" t="str">
        <f>G336</f>
        <v>5)</v>
      </c>
    </row>
    <row r="321" spans="2:10" x14ac:dyDescent="0.25">
      <c r="B321" s="26" t="str">
        <f>J336</f>
        <v>7)</v>
      </c>
      <c r="C321" s="1">
        <f>I336-H305</f>
        <v>1620</v>
      </c>
      <c r="D321" s="6"/>
      <c r="G321" s="26"/>
      <c r="I321" s="6"/>
    </row>
    <row r="322" spans="2:10" x14ac:dyDescent="0.25">
      <c r="D322" s="6"/>
      <c r="G322" s="26"/>
      <c r="I322" s="6"/>
    </row>
    <row r="323" spans="2:10" x14ac:dyDescent="0.25">
      <c r="D323" s="6"/>
      <c r="G323" s="26"/>
      <c r="I323" s="6"/>
    </row>
    <row r="324" spans="2:10" x14ac:dyDescent="0.25">
      <c r="D324" s="6"/>
      <c r="G324" s="26"/>
      <c r="I324" s="6"/>
    </row>
    <row r="325" spans="2:10" x14ac:dyDescent="0.25">
      <c r="D325" s="6"/>
      <c r="G325" s="26"/>
      <c r="I325" s="6"/>
    </row>
    <row r="327" spans="2:10" x14ac:dyDescent="0.25">
      <c r="B327" s="28"/>
      <c r="C327" s="4" t="s">
        <v>223</v>
      </c>
      <c r="D327" s="4"/>
      <c r="E327" s="28"/>
      <c r="G327" s="28"/>
      <c r="H327" s="4" t="s">
        <v>141</v>
      </c>
      <c r="I327" s="4"/>
      <c r="J327" s="28"/>
    </row>
    <row r="328" spans="2:10" x14ac:dyDescent="0.25">
      <c r="D328" s="5">
        <v>7000</v>
      </c>
      <c r="E328" s="26" t="str">
        <f>G320</f>
        <v>3)</v>
      </c>
      <c r="G328" s="26"/>
      <c r="I328" s="5">
        <f>H320-D328</f>
        <v>1610</v>
      </c>
      <c r="J328" s="26" t="str">
        <f>G320</f>
        <v>3)</v>
      </c>
    </row>
    <row r="329" spans="2:10" x14ac:dyDescent="0.25">
      <c r="D329" s="6"/>
      <c r="G329" s="26"/>
      <c r="I329" s="6"/>
    </row>
    <row r="330" spans="2:10" x14ac:dyDescent="0.25">
      <c r="D330" s="6"/>
      <c r="G330" s="26"/>
      <c r="I330" s="6"/>
    </row>
    <row r="331" spans="2:10" x14ac:dyDescent="0.25">
      <c r="D331" s="6"/>
      <c r="G331" s="26"/>
      <c r="I331" s="6"/>
    </row>
    <row r="332" spans="2:10" x14ac:dyDescent="0.25">
      <c r="D332" s="6"/>
      <c r="G332" s="26"/>
      <c r="I332" s="6"/>
    </row>
    <row r="333" spans="2:10" x14ac:dyDescent="0.25">
      <c r="D333" s="6"/>
      <c r="G333" s="26"/>
      <c r="I333" s="6"/>
    </row>
    <row r="335" spans="2:10" x14ac:dyDescent="0.25">
      <c r="B335" s="28"/>
      <c r="C335" s="4" t="s">
        <v>142</v>
      </c>
      <c r="D335" s="4"/>
      <c r="E335" s="28"/>
      <c r="G335" s="28"/>
      <c r="H335" s="4" t="s">
        <v>224</v>
      </c>
      <c r="I335" s="4"/>
      <c r="J335" s="28"/>
    </row>
    <row r="336" spans="2:10" x14ac:dyDescent="0.25">
      <c r="B336" s="26" t="str">
        <f>E304</f>
        <v>4)</v>
      </c>
      <c r="C336" s="1">
        <f>D304</f>
        <v>5000</v>
      </c>
      <c r="D336" s="5"/>
      <c r="G336" s="26" t="s">
        <v>98</v>
      </c>
      <c r="H336" s="1">
        <v>9000</v>
      </c>
      <c r="I336" s="73">
        <f>H336</f>
        <v>9000</v>
      </c>
      <c r="J336" s="26" t="s">
        <v>144</v>
      </c>
    </row>
    <row r="337" spans="2:10" x14ac:dyDescent="0.25">
      <c r="D337" s="6"/>
      <c r="G337" s="26"/>
      <c r="I337" s="6"/>
    </row>
    <row r="338" spans="2:10" x14ac:dyDescent="0.25">
      <c r="D338" s="6"/>
      <c r="G338" s="26"/>
      <c r="I338" s="6"/>
    </row>
    <row r="339" spans="2:10" x14ac:dyDescent="0.25">
      <c r="D339" s="6"/>
      <c r="G339" s="26"/>
      <c r="I339" s="6"/>
    </row>
    <row r="340" spans="2:10" x14ac:dyDescent="0.25">
      <c r="D340" s="6"/>
      <c r="G340" s="26"/>
      <c r="I340" s="6"/>
    </row>
    <row r="341" spans="2:10" x14ac:dyDescent="0.25">
      <c r="D341" s="6"/>
      <c r="G341" s="26"/>
      <c r="I341" s="6"/>
    </row>
    <row r="342" spans="2:10" x14ac:dyDescent="0.25">
      <c r="H342" s="1" t="s">
        <v>232</v>
      </c>
    </row>
    <row r="343" spans="2:10" x14ac:dyDescent="0.25">
      <c r="B343" s="28"/>
      <c r="C343" s="4" t="s">
        <v>217</v>
      </c>
      <c r="D343" s="4"/>
      <c r="E343" s="28"/>
      <c r="G343" s="28"/>
      <c r="H343" s="72" t="s">
        <v>231</v>
      </c>
      <c r="I343" s="72"/>
      <c r="J343" s="74"/>
    </row>
    <row r="344" spans="2:10" x14ac:dyDescent="0.25">
      <c r="D344" s="5">
        <f>H336-I320</f>
        <v>390</v>
      </c>
      <c r="E344" s="26" t="str">
        <f>G336</f>
        <v>5)</v>
      </c>
      <c r="G344" s="26"/>
      <c r="H344" s="69"/>
      <c r="I344" s="73">
        <f>I336</f>
        <v>9000</v>
      </c>
      <c r="J344" s="70" t="str">
        <f>J336</f>
        <v>7)</v>
      </c>
    </row>
    <row r="345" spans="2:10" x14ac:dyDescent="0.25">
      <c r="D345" s="6"/>
      <c r="G345" s="26"/>
      <c r="I345" s="6"/>
    </row>
    <row r="346" spans="2:10" x14ac:dyDescent="0.25">
      <c r="D346" s="6"/>
      <c r="G346" s="26"/>
      <c r="I346" s="6"/>
    </row>
    <row r="347" spans="2:10" x14ac:dyDescent="0.25">
      <c r="D347" s="6"/>
      <c r="G347" s="26"/>
      <c r="I347" s="6"/>
    </row>
    <row r="348" spans="2:10" x14ac:dyDescent="0.25">
      <c r="B348" s="27" t="s">
        <v>236</v>
      </c>
      <c r="C348" s="2"/>
      <c r="D348" s="37"/>
      <c r="G348" s="26"/>
      <c r="I348" s="6"/>
    </row>
    <row r="349" spans="2:10" x14ac:dyDescent="0.25">
      <c r="B349" s="93"/>
      <c r="C349" s="59"/>
      <c r="D349" s="94">
        <f>D353-D350</f>
        <v>34.5</v>
      </c>
      <c r="F349" s="1">
        <f>F353-F350</f>
        <v>39.1</v>
      </c>
      <c r="G349" s="26"/>
      <c r="I349" s="14"/>
    </row>
    <row r="350" spans="2:10" ht="15.75" thickBot="1" x14ac:dyDescent="0.3">
      <c r="D350" s="14">
        <f>D353-C353</f>
        <v>4.6000000000000014</v>
      </c>
      <c r="F350" s="1">
        <f>F353-D353</f>
        <v>6.8999999999999986</v>
      </c>
      <c r="G350" s="26"/>
      <c r="I350" s="14"/>
    </row>
    <row r="351" spans="2:10" x14ac:dyDescent="0.25">
      <c r="B351" s="88"/>
      <c r="C351" s="89" t="s">
        <v>237</v>
      </c>
      <c r="D351" s="89" t="s">
        <v>271</v>
      </c>
      <c r="E351" s="90"/>
      <c r="F351" s="89" t="s">
        <v>272</v>
      </c>
      <c r="G351" s="90"/>
      <c r="H351" s="97" t="s">
        <v>273</v>
      </c>
      <c r="I351" s="14"/>
    </row>
    <row r="352" spans="2:10" x14ac:dyDescent="0.25">
      <c r="B352" s="80" t="s">
        <v>275</v>
      </c>
      <c r="C352" s="14">
        <f>C404</f>
        <v>123.80281690140845</v>
      </c>
      <c r="D352" s="14">
        <v>150</v>
      </c>
      <c r="E352" s="30"/>
      <c r="F352" s="14">
        <v>170</v>
      </c>
      <c r="G352" s="30"/>
      <c r="H352" s="81">
        <v>200</v>
      </c>
      <c r="I352" s="14"/>
    </row>
    <row r="353" spans="2:13" x14ac:dyDescent="0.25">
      <c r="B353" s="80" t="s">
        <v>246</v>
      </c>
      <c r="C353" s="14">
        <f>D352*0.23</f>
        <v>34.5</v>
      </c>
      <c r="D353" s="14">
        <f>F352*0.23</f>
        <v>39.1</v>
      </c>
      <c r="E353" s="30"/>
      <c r="F353" s="96">
        <f>H352*0.23</f>
        <v>46</v>
      </c>
      <c r="G353" s="30"/>
      <c r="H353" s="81"/>
      <c r="I353" s="14"/>
    </row>
    <row r="354" spans="2:13" ht="15.75" thickBot="1" x14ac:dyDescent="0.3">
      <c r="B354" s="82" t="s">
        <v>274</v>
      </c>
      <c r="C354" s="83">
        <f>C353+D352</f>
        <v>184.5</v>
      </c>
      <c r="D354" s="83">
        <f>D353+F352</f>
        <v>209.1</v>
      </c>
      <c r="E354" s="92"/>
      <c r="F354" s="83">
        <f>F353+H352</f>
        <v>246</v>
      </c>
      <c r="G354" s="92"/>
      <c r="H354" s="95">
        <f>F354</f>
        <v>246</v>
      </c>
      <c r="I354" s="14"/>
    </row>
    <row r="355" spans="2:13" x14ac:dyDescent="0.25">
      <c r="D355" s="14"/>
      <c r="G355" s="26"/>
      <c r="H355" s="1" t="s">
        <v>276</v>
      </c>
      <c r="I355" s="14"/>
    </row>
    <row r="356" spans="2:13" x14ac:dyDescent="0.25">
      <c r="C356" s="1" t="s">
        <v>277</v>
      </c>
      <c r="D356" s="14"/>
      <c r="G356" s="26"/>
      <c r="I356" s="14"/>
    </row>
    <row r="357" spans="2:13" x14ac:dyDescent="0.25">
      <c r="C357" s="75" t="s">
        <v>278</v>
      </c>
      <c r="D357" s="14"/>
      <c r="F357" s="1">
        <v>50</v>
      </c>
      <c r="G357" s="26"/>
      <c r="H357" s="1">
        <f>F357*0.23</f>
        <v>11.5</v>
      </c>
      <c r="I357" s="14">
        <f>F357+H357</f>
        <v>61.5</v>
      </c>
    </row>
    <row r="358" spans="2:13" x14ac:dyDescent="0.25">
      <c r="C358" s="75" t="s">
        <v>279</v>
      </c>
      <c r="D358" s="14"/>
      <c r="F358" s="1">
        <v>30</v>
      </c>
      <c r="G358" s="26"/>
      <c r="H358" s="1">
        <f>F358*0.23</f>
        <v>6.9</v>
      </c>
      <c r="I358" s="14">
        <f>F358+H358</f>
        <v>36.9</v>
      </c>
      <c r="L358" s="1" t="s">
        <v>281</v>
      </c>
    </row>
    <row r="359" spans="2:13" x14ac:dyDescent="0.25">
      <c r="C359" s="75" t="s">
        <v>285</v>
      </c>
      <c r="D359" s="14"/>
      <c r="F359" s="1">
        <v>20</v>
      </c>
      <c r="G359" s="26"/>
      <c r="H359" s="1" t="s">
        <v>280</v>
      </c>
      <c r="I359" s="14"/>
      <c r="L359" s="1">
        <f>F359/0.71</f>
        <v>28.169014084507044</v>
      </c>
      <c r="M359" s="1" t="s">
        <v>288</v>
      </c>
    </row>
    <row r="360" spans="2:13" x14ac:dyDescent="0.25">
      <c r="C360" s="75" t="s">
        <v>257</v>
      </c>
      <c r="D360" s="14"/>
      <c r="F360" s="1">
        <v>10</v>
      </c>
      <c r="G360" s="26"/>
      <c r="H360" s="1">
        <f>F360*0.23</f>
        <v>2.3000000000000003</v>
      </c>
      <c r="I360" s="14">
        <f>F360+H360</f>
        <v>12.3</v>
      </c>
      <c r="L360" s="1">
        <f>L359*1.2</f>
        <v>33.802816901408448</v>
      </c>
      <c r="M360" s="1" t="s">
        <v>282</v>
      </c>
    </row>
    <row r="361" spans="2:13" x14ac:dyDescent="0.25">
      <c r="F361" s="1" t="s">
        <v>245</v>
      </c>
      <c r="H361" s="1" t="s">
        <v>246</v>
      </c>
      <c r="I361" s="1" t="s">
        <v>286</v>
      </c>
      <c r="L361" s="1">
        <f>L360-L359</f>
        <v>5.6338028169014045</v>
      </c>
      <c r="M361" s="1" t="s">
        <v>283</v>
      </c>
    </row>
    <row r="363" spans="2:13" x14ac:dyDescent="0.25">
      <c r="B363" s="28"/>
      <c r="C363" s="76" t="s">
        <v>284</v>
      </c>
      <c r="D363" s="4"/>
      <c r="E363" s="28"/>
      <c r="G363" s="28"/>
      <c r="H363" s="4" t="s">
        <v>104</v>
      </c>
      <c r="I363" s="4"/>
      <c r="J363" s="28"/>
    </row>
    <row r="364" spans="2:13" x14ac:dyDescent="0.25">
      <c r="B364" s="26" t="s">
        <v>2</v>
      </c>
      <c r="C364" s="1">
        <f>F357</f>
        <v>50</v>
      </c>
      <c r="D364" s="5"/>
      <c r="G364" s="26"/>
      <c r="I364" s="5">
        <f>I357</f>
        <v>61.5</v>
      </c>
      <c r="J364" s="26" t="str">
        <f>B364</f>
        <v>1)</v>
      </c>
    </row>
    <row r="365" spans="2:13" x14ac:dyDescent="0.25">
      <c r="B365" s="26" t="s">
        <v>7</v>
      </c>
      <c r="C365" s="1">
        <f>F358</f>
        <v>30</v>
      </c>
      <c r="D365" s="6"/>
      <c r="G365" s="26"/>
      <c r="I365" s="6">
        <f>I358</f>
        <v>36.9</v>
      </c>
      <c r="J365" s="26" t="str">
        <f>B365</f>
        <v>2)</v>
      </c>
    </row>
    <row r="366" spans="2:13" x14ac:dyDescent="0.25">
      <c r="D366" s="6"/>
      <c r="G366" s="26"/>
      <c r="I366" s="6">
        <f>H388+C374</f>
        <v>12.3</v>
      </c>
      <c r="J366" s="26" t="str">
        <f>G388</f>
        <v>4)</v>
      </c>
    </row>
    <row r="367" spans="2:13" x14ac:dyDescent="0.25">
      <c r="D367" s="6"/>
      <c r="G367" s="26"/>
      <c r="I367" s="6"/>
    </row>
    <row r="368" spans="2:13" x14ac:dyDescent="0.25">
      <c r="D368" s="6"/>
      <c r="G368" s="26"/>
      <c r="I368" s="6"/>
    </row>
    <row r="369" spans="2:10" x14ac:dyDescent="0.25">
      <c r="D369" s="6"/>
      <c r="G369" s="26"/>
      <c r="I369" s="6"/>
    </row>
    <row r="370" spans="2:10" ht="15.75" thickBot="1" x14ac:dyDescent="0.3"/>
    <row r="371" spans="2:10" x14ac:dyDescent="0.25">
      <c r="B371" s="77"/>
      <c r="C371" s="86" t="s">
        <v>158</v>
      </c>
      <c r="D371" s="78"/>
      <c r="E371" s="115"/>
      <c r="G371" s="28"/>
      <c r="H371" s="76" t="s">
        <v>287</v>
      </c>
      <c r="I371" s="4"/>
      <c r="J371" s="28"/>
    </row>
    <row r="372" spans="2:10" x14ac:dyDescent="0.25">
      <c r="B372" s="80" t="str">
        <f>J364</f>
        <v>1)</v>
      </c>
      <c r="C372" s="14">
        <f>H357</f>
        <v>11.5</v>
      </c>
      <c r="D372" s="5">
        <f>C372+C373+C374</f>
        <v>20.7</v>
      </c>
      <c r="E372" s="100" t="s">
        <v>214</v>
      </c>
      <c r="G372" s="50" t="s">
        <v>9</v>
      </c>
      <c r="H372" s="38">
        <f>L359</f>
        <v>28.169014084507044</v>
      </c>
      <c r="I372" s="5"/>
    </row>
    <row r="373" spans="2:10" x14ac:dyDescent="0.25">
      <c r="B373" s="80" t="str">
        <f>B365</f>
        <v>2)</v>
      </c>
      <c r="C373" s="14">
        <f>I365-C365</f>
        <v>6.8999999999999986</v>
      </c>
      <c r="D373" s="6"/>
      <c r="E373" s="100"/>
      <c r="G373" s="26"/>
      <c r="I373" s="6"/>
    </row>
    <row r="374" spans="2:10" x14ac:dyDescent="0.25">
      <c r="B374" s="80" t="str">
        <f>J366</f>
        <v>4)</v>
      </c>
      <c r="C374" s="14">
        <f>H360</f>
        <v>2.3000000000000003</v>
      </c>
      <c r="D374" s="6"/>
      <c r="E374" s="100"/>
      <c r="G374" s="26"/>
      <c r="I374" s="6"/>
    </row>
    <row r="375" spans="2:10" x14ac:dyDescent="0.25">
      <c r="B375" s="80"/>
      <c r="C375" s="14"/>
      <c r="D375" s="6"/>
      <c r="E375" s="100"/>
      <c r="G375" s="26"/>
      <c r="I375" s="6"/>
    </row>
    <row r="376" spans="2:10" x14ac:dyDescent="0.25">
      <c r="B376" s="80"/>
      <c r="C376" s="14"/>
      <c r="D376" s="6"/>
      <c r="E376" s="100"/>
      <c r="G376" s="26"/>
      <c r="I376" s="6"/>
    </row>
    <row r="377" spans="2:10" ht="15.75" thickBot="1" x14ac:dyDescent="0.3">
      <c r="B377" s="82"/>
      <c r="C377" s="83"/>
      <c r="D377" s="84"/>
      <c r="E377" s="116"/>
      <c r="G377" s="26"/>
      <c r="I377" s="6"/>
    </row>
    <row r="379" spans="2:10" x14ac:dyDescent="0.25">
      <c r="B379" s="28"/>
      <c r="C379" s="4" t="s">
        <v>289</v>
      </c>
      <c r="D379" s="4"/>
      <c r="E379" s="28"/>
      <c r="G379" s="28"/>
      <c r="H379" s="4" t="s">
        <v>290</v>
      </c>
      <c r="I379" s="4"/>
      <c r="J379" s="28"/>
    </row>
    <row r="380" spans="2:10" x14ac:dyDescent="0.25">
      <c r="B380" s="51" t="str">
        <f>E381</f>
        <v>3)</v>
      </c>
      <c r="C380" s="35">
        <f>D381-D380</f>
        <v>8.1690140845070438</v>
      </c>
      <c r="D380" s="63">
        <f>F359</f>
        <v>20</v>
      </c>
      <c r="E380" s="50" t="str">
        <f>G372</f>
        <v>3)</v>
      </c>
      <c r="G380" s="26"/>
      <c r="I380" s="63">
        <f>L359-F359</f>
        <v>8.1690140845070438</v>
      </c>
      <c r="J380" s="50" t="str">
        <f>E380</f>
        <v>3)</v>
      </c>
    </row>
    <row r="381" spans="2:10" x14ac:dyDescent="0.25">
      <c r="D381" s="36">
        <f>H372</f>
        <v>28.169014084507044</v>
      </c>
      <c r="E381" s="51" t="str">
        <f>G372</f>
        <v>3)</v>
      </c>
      <c r="G381" s="26"/>
      <c r="I381" s="36">
        <f>C380</f>
        <v>8.1690140845070438</v>
      </c>
      <c r="J381" s="51" t="str">
        <f>B380</f>
        <v>3)</v>
      </c>
    </row>
    <row r="382" spans="2:10" x14ac:dyDescent="0.25">
      <c r="D382" s="6"/>
      <c r="G382" s="26"/>
      <c r="I382" s="6">
        <f>C388</f>
        <v>5.6338028169014045</v>
      </c>
      <c r="J382" s="26" t="str">
        <f>B388</f>
        <v>3a)</v>
      </c>
    </row>
    <row r="383" spans="2:10" x14ac:dyDescent="0.25">
      <c r="D383" s="6"/>
      <c r="G383" s="26"/>
      <c r="I383" s="6"/>
    </row>
    <row r="384" spans="2:10" x14ac:dyDescent="0.25">
      <c r="D384" s="6"/>
      <c r="G384" s="26"/>
      <c r="I384" s="6"/>
    </row>
    <row r="385" spans="2:10" x14ac:dyDescent="0.25">
      <c r="D385" s="6"/>
      <c r="G385" s="26"/>
      <c r="I385" s="6"/>
    </row>
    <row r="387" spans="2:10" x14ac:dyDescent="0.25">
      <c r="B387" s="28"/>
      <c r="C387" s="76" t="s">
        <v>291</v>
      </c>
      <c r="D387" s="4"/>
      <c r="E387" s="28"/>
      <c r="G387" s="28"/>
      <c r="H387" s="76" t="s">
        <v>293</v>
      </c>
      <c r="I387" s="4"/>
      <c r="J387" s="28"/>
    </row>
    <row r="388" spans="2:10" x14ac:dyDescent="0.25">
      <c r="B388" s="26" t="s">
        <v>292</v>
      </c>
      <c r="C388" s="1">
        <f>L361</f>
        <v>5.6338028169014045</v>
      </c>
      <c r="D388" s="5"/>
      <c r="G388" s="26" t="s">
        <v>28</v>
      </c>
      <c r="H388" s="1">
        <f>F360</f>
        <v>10</v>
      </c>
      <c r="I388" s="5"/>
    </row>
    <row r="389" spans="2:10" x14ac:dyDescent="0.25">
      <c r="D389" s="6"/>
      <c r="G389" s="26"/>
      <c r="I389" s="6"/>
    </row>
    <row r="390" spans="2:10" x14ac:dyDescent="0.25">
      <c r="D390" s="6"/>
      <c r="G390" s="26"/>
      <c r="I390" s="6"/>
    </row>
    <row r="391" spans="2:10" x14ac:dyDescent="0.25">
      <c r="D391" s="6"/>
      <c r="G391" s="26"/>
      <c r="I391" s="6"/>
    </row>
    <row r="392" spans="2:10" x14ac:dyDescent="0.25">
      <c r="D392" s="6"/>
      <c r="G392" s="26"/>
      <c r="I392" s="6"/>
    </row>
    <row r="393" spans="2:10" x14ac:dyDescent="0.25">
      <c r="D393" s="6"/>
      <c r="G393" s="26"/>
      <c r="I393" s="6"/>
    </row>
    <row r="395" spans="2:10" x14ac:dyDescent="0.25">
      <c r="B395" s="28"/>
      <c r="C395" s="4" t="s">
        <v>294</v>
      </c>
      <c r="D395" s="4"/>
      <c r="E395" s="28"/>
      <c r="G395" s="28"/>
      <c r="H395" s="4" t="s">
        <v>295</v>
      </c>
      <c r="I395" s="4"/>
      <c r="J395" s="28"/>
    </row>
    <row r="396" spans="2:10" x14ac:dyDescent="0.25">
      <c r="D396" s="5">
        <f>C364</f>
        <v>50</v>
      </c>
      <c r="E396" s="26" t="s">
        <v>185</v>
      </c>
      <c r="G396" s="26" t="str">
        <f>E396</f>
        <v>1a)</v>
      </c>
      <c r="H396" s="1">
        <f>D396</f>
        <v>50</v>
      </c>
      <c r="I396" s="5">
        <f>H396+H397+H398+H399+H400</f>
        <v>123.80281690140845</v>
      </c>
      <c r="J396" s="26" t="s">
        <v>98</v>
      </c>
    </row>
    <row r="397" spans="2:10" x14ac:dyDescent="0.25">
      <c r="D397" s="6">
        <f>C365</f>
        <v>30</v>
      </c>
      <c r="E397" s="26" t="s">
        <v>190</v>
      </c>
      <c r="G397" s="26" t="s">
        <v>190</v>
      </c>
      <c r="H397" s="1">
        <f>C365</f>
        <v>30</v>
      </c>
      <c r="I397" s="6"/>
    </row>
    <row r="398" spans="2:10" x14ac:dyDescent="0.25">
      <c r="D398" s="6">
        <f>H372</f>
        <v>28.169014084507044</v>
      </c>
      <c r="E398" s="26" t="s">
        <v>296</v>
      </c>
      <c r="G398" s="26" t="str">
        <f>E398</f>
        <v>3b)</v>
      </c>
      <c r="H398" s="1">
        <f>D398</f>
        <v>28.169014084507044</v>
      </c>
      <c r="I398" s="6"/>
    </row>
    <row r="399" spans="2:10" x14ac:dyDescent="0.25">
      <c r="D399" s="6">
        <f>C388</f>
        <v>5.6338028169014045</v>
      </c>
      <c r="E399" s="26" t="str">
        <f>E398</f>
        <v>3b)</v>
      </c>
      <c r="G399" s="26" t="str">
        <f>G398</f>
        <v>3b)</v>
      </c>
      <c r="H399" s="1">
        <f>D399</f>
        <v>5.6338028169014045</v>
      </c>
      <c r="I399" s="6"/>
    </row>
    <row r="400" spans="2:10" x14ac:dyDescent="0.25">
      <c r="D400" s="6">
        <f>H388</f>
        <v>10</v>
      </c>
      <c r="E400" s="26" t="s">
        <v>297</v>
      </c>
      <c r="G400" s="26" t="str">
        <f>E400</f>
        <v>4a)</v>
      </c>
      <c r="H400" s="1">
        <f>D400</f>
        <v>10</v>
      </c>
      <c r="I400" s="6"/>
    </row>
    <row r="401" spans="2:10" x14ac:dyDescent="0.25">
      <c r="D401" s="6"/>
      <c r="G401" s="26"/>
      <c r="I401" s="6"/>
    </row>
    <row r="403" spans="2:10" x14ac:dyDescent="0.25">
      <c r="B403" s="28"/>
      <c r="C403" s="4" t="s">
        <v>266</v>
      </c>
      <c r="D403" s="4"/>
      <c r="E403" s="28"/>
      <c r="G403" s="28"/>
      <c r="H403" s="4" t="s">
        <v>267</v>
      </c>
      <c r="I403" s="4"/>
      <c r="J403" s="28"/>
    </row>
    <row r="404" spans="2:10" x14ac:dyDescent="0.25">
      <c r="B404" s="26" t="str">
        <f>J396</f>
        <v>5)</v>
      </c>
      <c r="C404" s="1">
        <f>I396</f>
        <v>123.80281690140845</v>
      </c>
      <c r="D404" s="5">
        <f>C404</f>
        <v>123.80281690140845</v>
      </c>
      <c r="E404" s="26" t="s">
        <v>144</v>
      </c>
      <c r="G404" s="26"/>
      <c r="I404" s="5">
        <f>D352</f>
        <v>150</v>
      </c>
      <c r="J404" s="26" t="s">
        <v>113</v>
      </c>
    </row>
    <row r="405" spans="2:10" x14ac:dyDescent="0.25">
      <c r="D405" s="6"/>
      <c r="G405" s="26"/>
      <c r="I405" s="6"/>
    </row>
    <row r="406" spans="2:10" x14ac:dyDescent="0.25">
      <c r="D406" s="6"/>
      <c r="G406" s="26"/>
      <c r="I406" s="6"/>
    </row>
    <row r="407" spans="2:10" x14ac:dyDescent="0.25">
      <c r="D407" s="6"/>
      <c r="G407" s="26"/>
      <c r="I407" s="6"/>
    </row>
    <row r="408" spans="2:10" x14ac:dyDescent="0.25">
      <c r="D408" s="6"/>
      <c r="G408" s="26"/>
      <c r="I408" s="6"/>
    </row>
    <row r="409" spans="2:10" x14ac:dyDescent="0.25">
      <c r="D409" s="6"/>
      <c r="G409" s="26"/>
      <c r="I409" s="6"/>
    </row>
    <row r="410" spans="2:10" ht="15.75" thickBot="1" x14ac:dyDescent="0.3"/>
    <row r="411" spans="2:10" x14ac:dyDescent="0.25">
      <c r="B411" s="28"/>
      <c r="C411" s="4" t="s">
        <v>161</v>
      </c>
      <c r="D411" s="4"/>
      <c r="E411" s="28"/>
      <c r="G411" s="77"/>
      <c r="H411" s="86" t="s">
        <v>141</v>
      </c>
      <c r="I411" s="78"/>
      <c r="J411" s="115"/>
    </row>
    <row r="412" spans="2:10" x14ac:dyDescent="0.25">
      <c r="B412" s="26" t="str">
        <f>J404</f>
        <v>6)</v>
      </c>
      <c r="C412" s="1">
        <f>C354</f>
        <v>184.5</v>
      </c>
      <c r="D412" s="5"/>
      <c r="G412" s="80" t="s">
        <v>214</v>
      </c>
      <c r="H412" s="14">
        <f>I412</f>
        <v>34.5</v>
      </c>
      <c r="I412" s="5">
        <f>C412-I404</f>
        <v>34.5</v>
      </c>
      <c r="J412" s="100" t="str">
        <f>J404</f>
        <v>6)</v>
      </c>
    </row>
    <row r="413" spans="2:10" x14ac:dyDescent="0.25">
      <c r="D413" s="6"/>
      <c r="G413" s="80"/>
      <c r="H413" s="14"/>
      <c r="I413" s="6"/>
      <c r="J413" s="100"/>
    </row>
    <row r="414" spans="2:10" x14ac:dyDescent="0.25">
      <c r="D414" s="6"/>
      <c r="G414" s="80"/>
      <c r="H414" s="14"/>
      <c r="I414" s="6"/>
      <c r="J414" s="100"/>
    </row>
    <row r="415" spans="2:10" x14ac:dyDescent="0.25">
      <c r="D415" s="6"/>
      <c r="G415" s="80"/>
      <c r="H415" s="14"/>
      <c r="I415" s="6"/>
      <c r="J415" s="100"/>
    </row>
    <row r="416" spans="2:10" x14ac:dyDescent="0.25">
      <c r="D416" s="6"/>
      <c r="G416" s="80"/>
      <c r="H416" s="14"/>
      <c r="I416" s="6"/>
      <c r="J416" s="100"/>
    </row>
    <row r="417" spans="2:10" ht="15.75" thickBot="1" x14ac:dyDescent="0.3">
      <c r="D417" s="6"/>
      <c r="G417" s="82"/>
      <c r="H417" s="83"/>
      <c r="I417" s="84"/>
      <c r="J417" s="116"/>
    </row>
    <row r="418" spans="2:10" ht="15.75" thickBot="1" x14ac:dyDescent="0.3"/>
    <row r="419" spans="2:10" x14ac:dyDescent="0.25">
      <c r="B419" s="28"/>
      <c r="C419" s="4" t="s">
        <v>298</v>
      </c>
      <c r="D419" s="4"/>
      <c r="E419" s="28"/>
      <c r="G419" s="77"/>
      <c r="H419" s="86" t="s">
        <v>299</v>
      </c>
      <c r="I419" s="78"/>
      <c r="J419" s="115"/>
    </row>
    <row r="420" spans="2:10" x14ac:dyDescent="0.25">
      <c r="B420" s="26" t="str">
        <f>E404</f>
        <v>7)</v>
      </c>
      <c r="C420" s="1">
        <f>D404</f>
        <v>123.80281690140845</v>
      </c>
      <c r="D420" s="5"/>
      <c r="G420" s="87" t="str">
        <f>E372</f>
        <v>8)</v>
      </c>
      <c r="H420" s="7">
        <f>D372</f>
        <v>20.7</v>
      </c>
      <c r="I420" s="8">
        <f>H412</f>
        <v>34.5</v>
      </c>
      <c r="J420" s="117" t="str">
        <f>G412</f>
        <v>8)</v>
      </c>
    </row>
    <row r="421" spans="2:10" x14ac:dyDescent="0.25">
      <c r="D421" s="6"/>
      <c r="G421" s="80"/>
      <c r="H421" s="14">
        <f>H420</f>
        <v>20.7</v>
      </c>
      <c r="I421" s="6">
        <f>I420</f>
        <v>34.5</v>
      </c>
      <c r="J421" s="100"/>
    </row>
    <row r="422" spans="2:10" x14ac:dyDescent="0.25">
      <c r="D422" s="6"/>
      <c r="G422" s="80" t="s">
        <v>31</v>
      </c>
      <c r="H422" s="14">
        <f>I421-H421</f>
        <v>13.8</v>
      </c>
      <c r="I422" s="6"/>
      <c r="J422" s="100"/>
    </row>
    <row r="423" spans="2:10" x14ac:dyDescent="0.25">
      <c r="D423" s="6"/>
      <c r="G423" s="80"/>
      <c r="H423" s="14"/>
      <c r="I423" s="6"/>
      <c r="J423" s="100"/>
    </row>
    <row r="424" spans="2:10" x14ac:dyDescent="0.25">
      <c r="D424" s="6"/>
      <c r="G424" s="80"/>
      <c r="H424" s="14"/>
      <c r="I424" s="6"/>
      <c r="J424" s="100"/>
    </row>
    <row r="425" spans="2:10" ht="15.75" thickBot="1" x14ac:dyDescent="0.3">
      <c r="D425" s="6"/>
      <c r="G425" s="82"/>
      <c r="H425" s="83"/>
      <c r="I425" s="84"/>
      <c r="J425" s="116"/>
    </row>
    <row r="426" spans="2:10" x14ac:dyDescent="0.25">
      <c r="B426" s="27" t="s">
        <v>289</v>
      </c>
      <c r="C426" s="2"/>
      <c r="D426" s="37"/>
    </row>
    <row r="428" spans="2:10" ht="15.75" thickBot="1" x14ac:dyDescent="0.3">
      <c r="D428" s="1">
        <f>D429+D436</f>
        <v>6024</v>
      </c>
      <c r="E428" s="125" t="s">
        <v>355</v>
      </c>
    </row>
    <row r="429" spans="2:10" ht="30.75" thickBot="1" x14ac:dyDescent="0.3">
      <c r="B429" s="102" t="s">
        <v>317</v>
      </c>
      <c r="C429" s="102"/>
      <c r="D429" s="107">
        <v>5000</v>
      </c>
    </row>
    <row r="430" spans="2:10" ht="30.75" thickBot="1" x14ac:dyDescent="0.3">
      <c r="B430" s="102" t="s">
        <v>318</v>
      </c>
      <c r="C430" s="102"/>
      <c r="D430" s="107"/>
    </row>
    <row r="431" spans="2:10" ht="30.75" thickBot="1" x14ac:dyDescent="0.3">
      <c r="B431" s="102" t="s">
        <v>319</v>
      </c>
      <c r="C431" s="103">
        <v>9.7600000000000006E-2</v>
      </c>
      <c r="D431" s="107">
        <f>$D$429*C431</f>
        <v>488.00000000000006</v>
      </c>
    </row>
    <row r="432" spans="2:10" ht="30.75" thickBot="1" x14ac:dyDescent="0.3">
      <c r="B432" s="102" t="s">
        <v>320</v>
      </c>
      <c r="C432" s="103">
        <v>6.5000000000000002E-2</v>
      </c>
      <c r="D432" s="107">
        <f>$D$429*C432</f>
        <v>325</v>
      </c>
    </row>
    <row r="433" spans="2:5" ht="30.75" thickBot="1" x14ac:dyDescent="0.3">
      <c r="B433" s="102" t="s">
        <v>321</v>
      </c>
      <c r="C433" s="103">
        <v>1.67E-2</v>
      </c>
      <c r="D433" s="107">
        <f>$D$429*C433</f>
        <v>83.5</v>
      </c>
    </row>
    <row r="434" spans="2:5" ht="15.75" thickBot="1" x14ac:dyDescent="0.3">
      <c r="B434" s="102" t="s">
        <v>322</v>
      </c>
      <c r="C434" s="103">
        <v>2.4500000000000001E-2</v>
      </c>
      <c r="D434" s="107">
        <f>$D$429*C434</f>
        <v>122.5</v>
      </c>
    </row>
    <row r="435" spans="2:5" ht="60.75" thickBot="1" x14ac:dyDescent="0.3">
      <c r="B435" s="102" t="s">
        <v>323</v>
      </c>
      <c r="C435" s="103">
        <v>1E-3</v>
      </c>
      <c r="D435" s="107">
        <f>$D$429*C435</f>
        <v>5</v>
      </c>
    </row>
    <row r="436" spans="2:5" ht="75.75" thickBot="1" x14ac:dyDescent="0.3">
      <c r="B436" s="102" t="s">
        <v>324</v>
      </c>
      <c r="C436" s="102"/>
      <c r="D436" s="109">
        <f>SUM(D431:D435)</f>
        <v>1024</v>
      </c>
      <c r="E436" s="26">
        <f>D436/D429</f>
        <v>0.20480000000000001</v>
      </c>
    </row>
    <row r="437" spans="2:5" ht="30.75" thickBot="1" x14ac:dyDescent="0.3">
      <c r="B437" s="102" t="s">
        <v>325</v>
      </c>
      <c r="C437" s="102"/>
      <c r="D437" s="107"/>
    </row>
    <row r="438" spans="2:5" ht="30.75" thickBot="1" x14ac:dyDescent="0.3">
      <c r="B438" s="102" t="s">
        <v>319</v>
      </c>
      <c r="C438" s="103">
        <v>9.7600000000000006E-2</v>
      </c>
      <c r="D438" s="107">
        <f>$D$429*C438</f>
        <v>488.00000000000006</v>
      </c>
    </row>
    <row r="439" spans="2:5" ht="30.75" thickBot="1" x14ac:dyDescent="0.3">
      <c r="B439" s="102" t="s">
        <v>320</v>
      </c>
      <c r="C439" s="103">
        <v>1.4999999999999999E-2</v>
      </c>
      <c r="D439" s="107">
        <f>$D$429*C439</f>
        <v>75</v>
      </c>
    </row>
    <row r="440" spans="2:5" ht="30.75" thickBot="1" x14ac:dyDescent="0.3">
      <c r="B440" s="102" t="s">
        <v>326</v>
      </c>
      <c r="C440" s="103">
        <v>2.4500000000000001E-2</v>
      </c>
      <c r="D440" s="107">
        <f>$D$429*C440</f>
        <v>122.5</v>
      </c>
    </row>
    <row r="441" spans="2:5" ht="75.75" thickBot="1" x14ac:dyDescent="0.3">
      <c r="B441" s="102" t="s">
        <v>327</v>
      </c>
      <c r="C441" s="102"/>
      <c r="D441" s="109">
        <f>SUM(D438:D440)</f>
        <v>685.5</v>
      </c>
      <c r="E441" s="26">
        <f>D441/D429</f>
        <v>0.1371</v>
      </c>
    </row>
    <row r="442" spans="2:5" ht="105.75" thickBot="1" x14ac:dyDescent="0.3">
      <c r="B442" s="102" t="s">
        <v>354</v>
      </c>
      <c r="C442" s="104"/>
      <c r="D442" s="107">
        <f>D429-D441</f>
        <v>4314.5</v>
      </c>
    </row>
    <row r="443" spans="2:5" ht="45.75" thickBot="1" x14ac:dyDescent="0.3">
      <c r="B443" s="102" t="s">
        <v>328</v>
      </c>
      <c r="C443" s="104"/>
      <c r="D443" s="110">
        <v>300</v>
      </c>
      <c r="E443" s="26" t="s">
        <v>353</v>
      </c>
    </row>
    <row r="444" spans="2:5" ht="75.75" thickBot="1" x14ac:dyDescent="0.3">
      <c r="B444" s="102" t="s">
        <v>329</v>
      </c>
      <c r="C444" s="104"/>
      <c r="D444" s="101">
        <f>D442-D443</f>
        <v>4014.5</v>
      </c>
    </row>
    <row r="445" spans="2:5" ht="60.75" thickBot="1" x14ac:dyDescent="0.3">
      <c r="B445" s="102" t="s">
        <v>332</v>
      </c>
      <c r="C445" s="111">
        <v>0.12</v>
      </c>
      <c r="D445" s="109">
        <f>ROUND(D444*C445-D446,0)</f>
        <v>182</v>
      </c>
    </row>
    <row r="446" spans="2:5" ht="150.75" thickBot="1" x14ac:dyDescent="0.3">
      <c r="B446" s="102" t="s">
        <v>333</v>
      </c>
      <c r="C446" s="105"/>
      <c r="D446" s="108">
        <v>300</v>
      </c>
    </row>
    <row r="447" spans="2:5" ht="75.75" thickBot="1" x14ac:dyDescent="0.3">
      <c r="B447" s="102" t="s">
        <v>330</v>
      </c>
      <c r="C447" s="112">
        <v>0.09</v>
      </c>
      <c r="D447" s="109">
        <f>C447*D442</f>
        <v>388.30500000000001</v>
      </c>
    </row>
    <row r="448" spans="2:5" ht="30.75" thickBot="1" x14ac:dyDescent="0.3">
      <c r="B448" s="102" t="s">
        <v>331</v>
      </c>
      <c r="C448" s="106"/>
      <c r="D448" s="108">
        <f>D429-D441-D445-D447</f>
        <v>3744.1950000000002</v>
      </c>
      <c r="E448" s="26">
        <f>D448/D429</f>
        <v>0.74883900000000003</v>
      </c>
    </row>
    <row r="450" spans="1:10" x14ac:dyDescent="0.25">
      <c r="A450" s="26">
        <v>1</v>
      </c>
      <c r="B450" s="26" t="s">
        <v>356</v>
      </c>
    </row>
    <row r="451" spans="1:10" x14ac:dyDescent="0.25">
      <c r="A451" s="26">
        <v>2</v>
      </c>
      <c r="B451" s="26" t="s">
        <v>360</v>
      </c>
    </row>
    <row r="452" spans="1:10" x14ac:dyDescent="0.25">
      <c r="A452" s="26">
        <v>3</v>
      </c>
      <c r="B452" s="26" t="s">
        <v>357</v>
      </c>
    </row>
    <row r="453" spans="1:10" x14ac:dyDescent="0.25">
      <c r="A453" s="26" t="s">
        <v>310</v>
      </c>
      <c r="B453" s="26" t="s">
        <v>358</v>
      </c>
    </row>
    <row r="454" spans="1:10" x14ac:dyDescent="0.25">
      <c r="A454" s="26" t="s">
        <v>342</v>
      </c>
      <c r="B454" s="26" t="s">
        <v>359</v>
      </c>
    </row>
    <row r="455" spans="1:10" x14ac:dyDescent="0.25">
      <c r="A455" s="26" t="s">
        <v>343</v>
      </c>
      <c r="B455" s="26" t="s">
        <v>339</v>
      </c>
    </row>
    <row r="457" spans="1:10" x14ac:dyDescent="0.25">
      <c r="B457" s="28"/>
      <c r="C457" s="4" t="s">
        <v>287</v>
      </c>
      <c r="D457" s="4"/>
      <c r="E457" s="28"/>
      <c r="G457" s="28"/>
      <c r="H457" s="4" t="s">
        <v>260</v>
      </c>
      <c r="I457" s="4"/>
      <c r="J457" s="28"/>
    </row>
    <row r="458" spans="1:10" x14ac:dyDescent="0.25">
      <c r="B458" s="26">
        <f>J458</f>
        <v>1</v>
      </c>
      <c r="C458" s="1">
        <f>I458</f>
        <v>5000</v>
      </c>
      <c r="D458" s="5"/>
      <c r="G458" s="26" t="str">
        <f>A453</f>
        <v>3a</v>
      </c>
      <c r="H458" s="1">
        <f>D441</f>
        <v>685.5</v>
      </c>
      <c r="I458" s="5">
        <f>D429</f>
        <v>5000</v>
      </c>
      <c r="J458" s="26">
        <f>A450</f>
        <v>1</v>
      </c>
    </row>
    <row r="459" spans="1:10" x14ac:dyDescent="0.25">
      <c r="D459" s="6"/>
      <c r="G459" s="26" t="str">
        <f>A454</f>
        <v>3b</v>
      </c>
      <c r="H459" s="1">
        <f>D447</f>
        <v>388.30500000000001</v>
      </c>
      <c r="I459" s="6"/>
    </row>
    <row r="460" spans="1:10" x14ac:dyDescent="0.25">
      <c r="D460" s="6"/>
      <c r="G460" s="28" t="str">
        <f>A455</f>
        <v>3c</v>
      </c>
      <c r="H460" s="4">
        <f>D445</f>
        <v>182</v>
      </c>
      <c r="I460" s="9"/>
      <c r="J460" s="28"/>
    </row>
    <row r="461" spans="1:10" x14ac:dyDescent="0.25">
      <c r="D461" s="6"/>
      <c r="G461" s="26"/>
      <c r="H461" s="1">
        <f>SUM(H458:H460)</f>
        <v>1255.8050000000001</v>
      </c>
      <c r="I461" s="6">
        <f>SUM(I458:I460)</f>
        <v>5000</v>
      </c>
    </row>
    <row r="462" spans="1:10" x14ac:dyDescent="0.25">
      <c r="D462" s="6"/>
      <c r="G462" s="26" t="s">
        <v>10</v>
      </c>
      <c r="H462" s="1">
        <f>I461-H461</f>
        <v>3744.1949999999997</v>
      </c>
      <c r="I462" s="6"/>
    </row>
    <row r="463" spans="1:10" x14ac:dyDescent="0.25">
      <c r="D463" s="6"/>
      <c r="G463" s="26"/>
      <c r="I463" s="6"/>
    </row>
    <row r="466" spans="2:10" x14ac:dyDescent="0.25">
      <c r="B466" s="28"/>
      <c r="C466" s="4" t="s">
        <v>340</v>
      </c>
      <c r="D466" s="4"/>
      <c r="E466" s="28"/>
      <c r="G466" s="28"/>
      <c r="H466" s="4" t="s">
        <v>341</v>
      </c>
      <c r="I466" s="4"/>
      <c r="J466" s="28"/>
    </row>
    <row r="467" spans="2:10" x14ac:dyDescent="0.25">
      <c r="B467" s="26">
        <f>A451</f>
        <v>2</v>
      </c>
      <c r="C467" s="1">
        <f>D436</f>
        <v>1024</v>
      </c>
      <c r="D467" s="5"/>
      <c r="G467" s="26"/>
      <c r="I467" s="5">
        <f>C467</f>
        <v>1024</v>
      </c>
      <c r="J467" s="26">
        <f>B467</f>
        <v>2</v>
      </c>
    </row>
    <row r="468" spans="2:10" x14ac:dyDescent="0.25">
      <c r="D468" s="6"/>
      <c r="G468" s="26"/>
      <c r="I468" s="6">
        <f>H458</f>
        <v>685.5</v>
      </c>
      <c r="J468" s="26" t="str">
        <f>G458</f>
        <v>3a</v>
      </c>
    </row>
    <row r="469" spans="2:10" x14ac:dyDescent="0.25">
      <c r="D469" s="6"/>
      <c r="G469" s="26"/>
      <c r="I469" s="6">
        <f>H459</f>
        <v>388.30500000000001</v>
      </c>
      <c r="J469" s="26" t="str">
        <f>G459</f>
        <v>3b</v>
      </c>
    </row>
    <row r="470" spans="2:10" x14ac:dyDescent="0.25">
      <c r="D470" s="6"/>
      <c r="G470" s="26"/>
      <c r="I470" s="6"/>
    </row>
    <row r="471" spans="2:10" x14ac:dyDescent="0.25">
      <c r="D471" s="6"/>
      <c r="G471" s="26"/>
      <c r="I471" s="6"/>
    </row>
    <row r="472" spans="2:10" x14ac:dyDescent="0.25">
      <c r="D472" s="6"/>
      <c r="G472" s="26"/>
      <c r="I472" s="6"/>
    </row>
    <row r="474" spans="2:10" x14ac:dyDescent="0.25">
      <c r="B474" s="28"/>
      <c r="C474" s="4" t="s">
        <v>344</v>
      </c>
      <c r="D474" s="4"/>
      <c r="E474" s="28"/>
      <c r="G474" s="28"/>
      <c r="H474" s="4"/>
      <c r="I474" s="4"/>
      <c r="J474" s="28"/>
    </row>
    <row r="475" spans="2:10" x14ac:dyDescent="0.25">
      <c r="D475" s="5">
        <f>H460</f>
        <v>182</v>
      </c>
      <c r="E475" s="26" t="str">
        <f>G460</f>
        <v>3c</v>
      </c>
      <c r="G475" s="26"/>
      <c r="I475" s="5"/>
    </row>
    <row r="476" spans="2:10" x14ac:dyDescent="0.25">
      <c r="D476" s="6"/>
      <c r="G476" s="26"/>
      <c r="I476" s="6"/>
    </row>
    <row r="477" spans="2:10" x14ac:dyDescent="0.25">
      <c r="D477" s="6"/>
      <c r="G477" s="26"/>
      <c r="I477" s="6"/>
    </row>
    <row r="478" spans="2:10" x14ac:dyDescent="0.25">
      <c r="D478" s="6"/>
      <c r="G478" s="26"/>
      <c r="I478" s="6"/>
    </row>
    <row r="479" spans="2:10" x14ac:dyDescent="0.25">
      <c r="D479" s="6"/>
      <c r="G479" s="26"/>
      <c r="I479" s="6"/>
    </row>
    <row r="480" spans="2:10" x14ac:dyDescent="0.25">
      <c r="C480" s="14"/>
      <c r="D480" s="14"/>
      <c r="E480" s="30"/>
      <c r="F480" s="14"/>
      <c r="G480" s="26"/>
      <c r="I480" s="6"/>
    </row>
    <row r="481" spans="2:10" x14ac:dyDescent="0.25">
      <c r="B481" s="26" t="s">
        <v>361</v>
      </c>
      <c r="C481" s="14"/>
      <c r="D481" s="14"/>
      <c r="E481" s="30"/>
      <c r="F481" s="14"/>
    </row>
    <row r="482" spans="2:10" x14ac:dyDescent="0.25">
      <c r="B482" s="26">
        <v>1</v>
      </c>
      <c r="C482" s="14" t="s">
        <v>348</v>
      </c>
      <c r="D482" s="14"/>
      <c r="E482" s="30"/>
      <c r="F482" s="14"/>
      <c r="G482" s="30"/>
      <c r="H482" s="14"/>
      <c r="I482" s="14"/>
      <c r="J482" s="30"/>
    </row>
    <row r="483" spans="2:10" x14ac:dyDescent="0.25">
      <c r="B483" s="26">
        <v>2</v>
      </c>
      <c r="C483" s="14" t="s">
        <v>349</v>
      </c>
      <c r="D483" s="14"/>
      <c r="E483" s="30"/>
      <c r="F483" s="14"/>
      <c r="G483" s="30"/>
      <c r="H483" s="14"/>
      <c r="I483" s="14"/>
      <c r="J483" s="30"/>
    </row>
    <row r="484" spans="2:10" x14ac:dyDescent="0.25">
      <c r="C484" s="14" t="s">
        <v>350</v>
      </c>
      <c r="D484" s="14"/>
      <c r="E484" s="30"/>
      <c r="F484" s="14"/>
      <c r="G484" s="30"/>
      <c r="H484" s="14"/>
      <c r="I484" s="14"/>
      <c r="J484" s="30"/>
    </row>
    <row r="485" spans="2:10" x14ac:dyDescent="0.25">
      <c r="C485" s="14" t="s">
        <v>351</v>
      </c>
      <c r="D485" s="14"/>
      <c r="E485" s="30"/>
      <c r="F485" s="14"/>
      <c r="G485" s="30"/>
      <c r="H485" s="14"/>
      <c r="I485" s="14"/>
      <c r="J485" s="30"/>
    </row>
    <row r="486" spans="2:10" x14ac:dyDescent="0.25">
      <c r="B486" s="26">
        <v>3</v>
      </c>
      <c r="C486" s="14" t="s">
        <v>352</v>
      </c>
      <c r="D486" s="14"/>
      <c r="E486" s="30"/>
      <c r="F486" s="14"/>
      <c r="G486" s="30"/>
      <c r="H486" s="14"/>
      <c r="I486" s="14"/>
      <c r="J486" s="30"/>
    </row>
    <row r="487" spans="2:10" x14ac:dyDescent="0.25">
      <c r="C487" s="14"/>
      <c r="D487" s="14"/>
      <c r="E487" s="30"/>
      <c r="F487" s="14"/>
      <c r="G487" s="30"/>
      <c r="H487" s="14"/>
      <c r="I487" s="14"/>
      <c r="J487" s="30"/>
    </row>
    <row r="488" spans="2:10" x14ac:dyDescent="0.25">
      <c r="B488" s="26" t="s">
        <v>362</v>
      </c>
      <c r="C488" s="14"/>
      <c r="D488" s="14"/>
      <c r="E488" s="30"/>
      <c r="F488" s="14"/>
      <c r="G488" s="30"/>
      <c r="H488" s="14"/>
      <c r="I488" s="14"/>
      <c r="J488" s="30"/>
    </row>
    <row r="490" spans="2:10" x14ac:dyDescent="0.25">
      <c r="B490" s="26" t="s">
        <v>286</v>
      </c>
      <c r="C490" s="1">
        <f>D429</f>
        <v>5000</v>
      </c>
    </row>
    <row r="491" spans="2:10" x14ac:dyDescent="0.25">
      <c r="B491" s="26" t="s">
        <v>345</v>
      </c>
      <c r="C491" s="1">
        <f>D438+D439+D440</f>
        <v>685.5</v>
      </c>
    </row>
    <row r="492" spans="2:10" ht="45" x14ac:dyDescent="0.25">
      <c r="B492" s="118" t="s">
        <v>364</v>
      </c>
      <c r="C492" s="1">
        <f>C490-C491</f>
        <v>4314.5</v>
      </c>
    </row>
    <row r="493" spans="2:10" ht="60" x14ac:dyDescent="0.25">
      <c r="B493" s="118" t="s">
        <v>363</v>
      </c>
      <c r="C493" s="1">
        <f>C492*0.2</f>
        <v>862.90000000000009</v>
      </c>
    </row>
    <row r="494" spans="2:10" x14ac:dyDescent="0.25">
      <c r="B494" s="26" t="s">
        <v>346</v>
      </c>
      <c r="C494" s="1">
        <f>0.09*C492</f>
        <v>388.30500000000001</v>
      </c>
    </row>
    <row r="495" spans="2:10" x14ac:dyDescent="0.25">
      <c r="B495" s="26" t="s">
        <v>365</v>
      </c>
      <c r="C495" s="1">
        <f>ROUND(C492-C493,0)</f>
        <v>3452</v>
      </c>
    </row>
    <row r="496" spans="2:10" x14ac:dyDescent="0.25">
      <c r="B496" s="26" t="s">
        <v>367</v>
      </c>
      <c r="C496" s="1">
        <f>C495*0.12</f>
        <v>414.24</v>
      </c>
    </row>
    <row r="497" spans="1:10" x14ac:dyDescent="0.25">
      <c r="B497" s="26" t="s">
        <v>366</v>
      </c>
      <c r="C497" s="1">
        <v>300</v>
      </c>
    </row>
    <row r="498" spans="1:10" x14ac:dyDescent="0.25">
      <c r="B498" s="26" t="s">
        <v>368</v>
      </c>
      <c r="C498" s="1">
        <f>ROUND(C496-C497,0)</f>
        <v>114</v>
      </c>
    </row>
    <row r="499" spans="1:10" x14ac:dyDescent="0.25">
      <c r="B499" s="26" t="s">
        <v>245</v>
      </c>
      <c r="C499" s="1">
        <f>C490-C491-C494-C498</f>
        <v>3812.1950000000002</v>
      </c>
      <c r="D499" s="1">
        <f>D448-C499</f>
        <v>-68</v>
      </c>
    </row>
    <row r="501" spans="1:10" x14ac:dyDescent="0.25">
      <c r="B501" s="27" t="s">
        <v>371</v>
      </c>
      <c r="C501" s="2"/>
      <c r="D501" s="2"/>
    </row>
    <row r="503" spans="1:10" x14ac:dyDescent="0.25">
      <c r="A503" s="26">
        <v>1</v>
      </c>
      <c r="B503" s="1" t="s">
        <v>394</v>
      </c>
      <c r="H503" s="1">
        <v>500000</v>
      </c>
    </row>
    <row r="504" spans="1:10" x14ac:dyDescent="0.25">
      <c r="B504" s="1" t="s">
        <v>375</v>
      </c>
    </row>
    <row r="505" spans="1:10" x14ac:dyDescent="0.25">
      <c r="A505" s="26">
        <v>2</v>
      </c>
      <c r="B505" s="1" t="s">
        <v>397</v>
      </c>
      <c r="H505" s="1">
        <f>H503</f>
        <v>500000</v>
      </c>
    </row>
    <row r="506" spans="1:10" x14ac:dyDescent="0.25">
      <c r="B506" s="1" t="s">
        <v>374</v>
      </c>
    </row>
    <row r="507" spans="1:10" x14ac:dyDescent="0.25">
      <c r="A507" s="26">
        <v>3</v>
      </c>
      <c r="B507" s="1" t="s">
        <v>395</v>
      </c>
    </row>
    <row r="508" spans="1:10" x14ac:dyDescent="0.25">
      <c r="A508" s="26" t="s">
        <v>310</v>
      </c>
      <c r="B508" s="26" t="s">
        <v>399</v>
      </c>
      <c r="H508" s="1" t="s">
        <v>396</v>
      </c>
    </row>
    <row r="509" spans="1:10" x14ac:dyDescent="0.25">
      <c r="B509" s="28"/>
      <c r="C509" s="4" t="s">
        <v>6</v>
      </c>
      <c r="D509" s="4"/>
      <c r="E509" s="28"/>
      <c r="G509" s="120"/>
      <c r="H509" s="119" t="s">
        <v>376</v>
      </c>
      <c r="I509" s="119"/>
      <c r="J509" s="120"/>
    </row>
    <row r="510" spans="1:10" x14ac:dyDescent="0.25">
      <c r="B510" s="26">
        <f>A503</f>
        <v>1</v>
      </c>
      <c r="C510" s="1">
        <f>H503</f>
        <v>500000</v>
      </c>
      <c r="D510" s="5">
        <f>C510</f>
        <v>500000</v>
      </c>
      <c r="E510" s="26">
        <f>B517</f>
        <v>2</v>
      </c>
      <c r="G510" s="51" t="str">
        <f>A508</f>
        <v>3a</v>
      </c>
      <c r="H510" s="35">
        <f>I524</f>
        <v>8333.3333333333339</v>
      </c>
      <c r="I510" s="121">
        <f>C510</f>
        <v>500000</v>
      </c>
      <c r="J510" s="51">
        <f>B510</f>
        <v>1</v>
      </c>
    </row>
    <row r="511" spans="1:10" x14ac:dyDescent="0.25">
      <c r="D511" s="6"/>
      <c r="G511" s="26"/>
      <c r="H511" s="1" t="s">
        <v>400</v>
      </c>
      <c r="I511" s="6"/>
    </row>
    <row r="512" spans="1:10" x14ac:dyDescent="0.25">
      <c r="D512" s="6"/>
      <c r="G512" s="26"/>
      <c r="H512" s="1" t="s">
        <v>401</v>
      </c>
      <c r="I512" s="6"/>
    </row>
    <row r="513" spans="2:10" x14ac:dyDescent="0.25">
      <c r="D513" s="6"/>
      <c r="G513" s="26"/>
      <c r="I513" s="6"/>
    </row>
    <row r="514" spans="2:10" x14ac:dyDescent="0.25">
      <c r="D514" s="6"/>
      <c r="G514" s="26"/>
      <c r="I514" s="6"/>
    </row>
    <row r="516" spans="2:10" x14ac:dyDescent="0.25">
      <c r="B516" s="28"/>
      <c r="C516" s="4" t="s">
        <v>398</v>
      </c>
      <c r="D516" s="4"/>
      <c r="E516" s="28"/>
      <c r="G516" s="28"/>
      <c r="H516" s="4" t="s">
        <v>111</v>
      </c>
      <c r="I516" s="4"/>
      <c r="J516" s="28"/>
    </row>
    <row r="517" spans="2:10" x14ac:dyDescent="0.25">
      <c r="B517" s="26">
        <f>A505</f>
        <v>2</v>
      </c>
      <c r="C517" s="1">
        <f>H505</f>
        <v>500000</v>
      </c>
      <c r="D517" s="5"/>
      <c r="G517" s="26">
        <f>A507</f>
        <v>3</v>
      </c>
      <c r="H517" s="1">
        <f>$C$517*0.2/12</f>
        <v>8333.3333333333339</v>
      </c>
      <c r="I517" s="5"/>
    </row>
    <row r="518" spans="2:10" x14ac:dyDescent="0.25">
      <c r="D518" s="6"/>
      <c r="G518" s="26"/>
      <c r="I518" s="6"/>
    </row>
    <row r="519" spans="2:10" x14ac:dyDescent="0.25">
      <c r="D519" s="6"/>
      <c r="G519" s="26"/>
      <c r="I519" s="6"/>
    </row>
    <row r="520" spans="2:10" x14ac:dyDescent="0.25">
      <c r="D520" s="6"/>
      <c r="G520" s="26"/>
      <c r="I520" s="6"/>
    </row>
    <row r="521" spans="2:10" x14ac:dyDescent="0.25">
      <c r="D521" s="6"/>
      <c r="G521" s="26"/>
      <c r="I521" s="6"/>
    </row>
    <row r="523" spans="2:10" x14ac:dyDescent="0.25">
      <c r="B523" s="28"/>
      <c r="C523" s="4" t="s">
        <v>112</v>
      </c>
      <c r="D523" s="4"/>
      <c r="E523" s="28"/>
      <c r="G523" s="28"/>
      <c r="H523" s="4" t="s">
        <v>378</v>
      </c>
      <c r="I523" s="4"/>
      <c r="J523" s="28"/>
    </row>
    <row r="524" spans="2:10" x14ac:dyDescent="0.25">
      <c r="D524" s="5">
        <f>H517</f>
        <v>8333.3333333333339</v>
      </c>
      <c r="E524" s="26">
        <f>G517</f>
        <v>3</v>
      </c>
      <c r="G524" s="26"/>
      <c r="I524" s="5">
        <f>H517</f>
        <v>8333.3333333333339</v>
      </c>
      <c r="J524" s="26" t="str">
        <f>G510</f>
        <v>3a</v>
      </c>
    </row>
    <row r="525" spans="2:10" x14ac:dyDescent="0.25">
      <c r="D525" s="6"/>
      <c r="G525" s="26"/>
      <c r="I525" s="6"/>
    </row>
    <row r="526" spans="2:10" x14ac:dyDescent="0.25">
      <c r="D526" s="6"/>
      <c r="G526" s="26"/>
      <c r="I526" s="6"/>
    </row>
    <row r="527" spans="2:10" x14ac:dyDescent="0.25">
      <c r="D527" s="6"/>
      <c r="G527" s="26"/>
      <c r="I527" s="6"/>
    </row>
    <row r="528" spans="2:10" x14ac:dyDescent="0.25">
      <c r="D528" s="6"/>
      <c r="G528" s="26"/>
      <c r="I528" s="6"/>
    </row>
    <row r="530" spans="2:6" x14ac:dyDescent="0.25">
      <c r="B530" s="26">
        <v>1</v>
      </c>
      <c r="C530" s="1" t="s">
        <v>383</v>
      </c>
      <c r="E530" s="1"/>
      <c r="F530" s="1">
        <v>1000</v>
      </c>
    </row>
    <row r="531" spans="2:6" x14ac:dyDescent="0.25">
      <c r="B531" s="26">
        <v>2</v>
      </c>
      <c r="C531" s="1" t="s">
        <v>384</v>
      </c>
      <c r="E531" s="1"/>
      <c r="F531" s="1">
        <v>1500</v>
      </c>
    </row>
    <row r="532" spans="2:6" x14ac:dyDescent="0.25">
      <c r="B532" s="26">
        <v>3</v>
      </c>
      <c r="C532" s="1" t="s">
        <v>385</v>
      </c>
      <c r="E532" s="1"/>
      <c r="F532" s="1">
        <v>2000</v>
      </c>
    </row>
    <row r="533" spans="2:6" x14ac:dyDescent="0.25">
      <c r="C533" s="1" t="s">
        <v>386</v>
      </c>
      <c r="E533" s="1"/>
    </row>
    <row r="534" spans="2:6" x14ac:dyDescent="0.25">
      <c r="C534" s="1" t="s">
        <v>387</v>
      </c>
      <c r="E534" s="1"/>
    </row>
    <row r="535" spans="2:6" x14ac:dyDescent="0.25">
      <c r="C535" s="1" t="s">
        <v>388</v>
      </c>
      <c r="E535" s="1"/>
    </row>
    <row r="536" spans="2:6" x14ac:dyDescent="0.25">
      <c r="B536" s="26">
        <v>4</v>
      </c>
      <c r="C536" s="1" t="s">
        <v>403</v>
      </c>
      <c r="E536" s="1"/>
    </row>
    <row r="537" spans="2:6" x14ac:dyDescent="0.25">
      <c r="C537" s="1" t="s">
        <v>111</v>
      </c>
      <c r="D537" s="20">
        <v>0.5</v>
      </c>
      <c r="E537" s="1" t="s">
        <v>389</v>
      </c>
    </row>
    <row r="538" spans="2:6" x14ac:dyDescent="0.25">
      <c r="D538" s="20">
        <v>0.4</v>
      </c>
      <c r="E538" s="1" t="s">
        <v>390</v>
      </c>
    </row>
    <row r="539" spans="2:6" x14ac:dyDescent="0.25">
      <c r="D539" s="20">
        <v>0.1</v>
      </c>
      <c r="E539" s="1" t="s">
        <v>391</v>
      </c>
    </row>
    <row r="540" spans="2:6" x14ac:dyDescent="0.25">
      <c r="C540" s="1" t="s">
        <v>258</v>
      </c>
      <c r="D540" s="20">
        <v>0.75</v>
      </c>
      <c r="E540" s="1" t="s">
        <v>389</v>
      </c>
    </row>
    <row r="541" spans="2:6" x14ac:dyDescent="0.25">
      <c r="D541" s="20">
        <v>0.2</v>
      </c>
      <c r="E541" s="1" t="s">
        <v>390</v>
      </c>
    </row>
    <row r="542" spans="2:6" x14ac:dyDescent="0.25">
      <c r="D542" s="20">
        <f>1-D540-D541</f>
        <v>4.9999999999999989E-2</v>
      </c>
      <c r="E542" s="1" t="s">
        <v>391</v>
      </c>
    </row>
    <row r="543" spans="2:6" x14ac:dyDescent="0.25">
      <c r="C543" s="1" t="s">
        <v>119</v>
      </c>
      <c r="D543" s="20">
        <v>0.6</v>
      </c>
      <c r="E543" s="1" t="s">
        <v>389</v>
      </c>
    </row>
    <row r="544" spans="2:6" x14ac:dyDescent="0.25">
      <c r="D544" s="20">
        <v>0.2</v>
      </c>
      <c r="E544" s="1" t="s">
        <v>390</v>
      </c>
    </row>
    <row r="545" spans="2:10" x14ac:dyDescent="0.25">
      <c r="D545" s="20">
        <v>0.2</v>
      </c>
      <c r="E545" s="1" t="s">
        <v>391</v>
      </c>
    </row>
    <row r="547" spans="2:10" x14ac:dyDescent="0.25">
      <c r="B547" s="28"/>
      <c r="C547" s="4" t="str">
        <f>C537</f>
        <v>Amortyzacja</v>
      </c>
      <c r="D547" s="4"/>
      <c r="E547" s="28"/>
      <c r="G547" s="4"/>
      <c r="H547" s="4" t="s">
        <v>112</v>
      </c>
      <c r="I547" s="4"/>
      <c r="J547" s="28"/>
    </row>
    <row r="548" spans="2:10" x14ac:dyDescent="0.25">
      <c r="B548" s="26">
        <f>B530</f>
        <v>1</v>
      </c>
      <c r="C548" s="1">
        <f>F530</f>
        <v>1000</v>
      </c>
      <c r="D548" s="5"/>
      <c r="I548" s="5">
        <f>C548</f>
        <v>1000</v>
      </c>
      <c r="J548" s="26">
        <f>B548</f>
        <v>1</v>
      </c>
    </row>
    <row r="549" spans="2:10" x14ac:dyDescent="0.25">
      <c r="D549" s="6"/>
      <c r="I549" s="6"/>
    </row>
    <row r="550" spans="2:10" x14ac:dyDescent="0.25">
      <c r="D550" s="6"/>
      <c r="I550" s="6"/>
    </row>
    <row r="551" spans="2:10" x14ac:dyDescent="0.25">
      <c r="D551" s="6"/>
      <c r="I551" s="6"/>
    </row>
    <row r="552" spans="2:10" x14ac:dyDescent="0.25">
      <c r="D552" s="6"/>
      <c r="I552" s="6"/>
    </row>
    <row r="555" spans="2:10" x14ac:dyDescent="0.25">
      <c r="B555" s="28"/>
      <c r="C555" s="4" t="str">
        <f>C540</f>
        <v>Zużycie materiałów i energii</v>
      </c>
      <c r="D555" s="4"/>
      <c r="E555" s="28"/>
      <c r="G555" s="4"/>
      <c r="H555" s="4" t="s">
        <v>104</v>
      </c>
      <c r="I555" s="4"/>
      <c r="J555" s="28"/>
    </row>
    <row r="556" spans="2:10" x14ac:dyDescent="0.25">
      <c r="B556" s="26">
        <f>B531</f>
        <v>2</v>
      </c>
      <c r="C556" s="1">
        <f>F531</f>
        <v>1500</v>
      </c>
      <c r="D556" s="5"/>
      <c r="I556" s="5">
        <f>C556</f>
        <v>1500</v>
      </c>
      <c r="J556" s="26">
        <f>B556</f>
        <v>2</v>
      </c>
    </row>
    <row r="557" spans="2:10" x14ac:dyDescent="0.25">
      <c r="D557" s="6"/>
      <c r="I557" s="6">
        <f>C564</f>
        <v>2000</v>
      </c>
      <c r="J557" s="26">
        <f>B564</f>
        <v>3</v>
      </c>
    </row>
    <row r="558" spans="2:10" x14ac:dyDescent="0.25">
      <c r="D558" s="6"/>
      <c r="I558" s="6"/>
    </row>
    <row r="559" spans="2:10" x14ac:dyDescent="0.25">
      <c r="D559" s="6"/>
      <c r="I559" s="6"/>
    </row>
    <row r="560" spans="2:10" x14ac:dyDescent="0.25">
      <c r="D560" s="6"/>
      <c r="I560" s="6"/>
    </row>
    <row r="563" spans="2:10" x14ac:dyDescent="0.25">
      <c r="B563" s="28"/>
      <c r="C563" s="4" t="str">
        <f>C543</f>
        <v>Usługi obce</v>
      </c>
      <c r="D563" s="4"/>
      <c r="E563" s="28"/>
      <c r="G563" s="4"/>
      <c r="H563" s="4" t="s">
        <v>402</v>
      </c>
      <c r="I563" s="4"/>
      <c r="J563" s="28"/>
    </row>
    <row r="564" spans="2:10" x14ac:dyDescent="0.25">
      <c r="B564" s="26">
        <f>B532</f>
        <v>3</v>
      </c>
      <c r="C564" s="1">
        <f>F532</f>
        <v>2000</v>
      </c>
      <c r="D564" s="5"/>
      <c r="I564" s="5">
        <f>C548</f>
        <v>1000</v>
      </c>
      <c r="J564" s="26">
        <v>4</v>
      </c>
    </row>
    <row r="565" spans="2:10" x14ac:dyDescent="0.25">
      <c r="D565" s="6"/>
      <c r="I565" s="6"/>
    </row>
    <row r="566" spans="2:10" x14ac:dyDescent="0.25">
      <c r="D566" s="6"/>
      <c r="I566" s="6"/>
    </row>
    <row r="567" spans="2:10" x14ac:dyDescent="0.25">
      <c r="D567" s="6"/>
      <c r="I567" s="6"/>
    </row>
    <row r="568" spans="2:10" x14ac:dyDescent="0.25">
      <c r="D568" s="6"/>
      <c r="I568" s="6"/>
    </row>
    <row r="571" spans="2:10" x14ac:dyDescent="0.25">
      <c r="B571" s="28"/>
      <c r="C571" s="4" t="str">
        <f>E537</f>
        <v>koszty produkcji podstawowej</v>
      </c>
      <c r="D571" s="4"/>
      <c r="E571" s="28"/>
      <c r="G571" s="4"/>
      <c r="H571" s="4" t="str">
        <f>E538</f>
        <v>koszty sprzedaży</v>
      </c>
      <c r="I571" s="4"/>
      <c r="J571" s="28"/>
    </row>
    <row r="572" spans="2:10" x14ac:dyDescent="0.25">
      <c r="B572" s="26">
        <f>J564</f>
        <v>4</v>
      </c>
      <c r="C572" s="1">
        <f>I564*D537</f>
        <v>500</v>
      </c>
      <c r="D572" s="5"/>
      <c r="H572" s="1">
        <f>I564*D538</f>
        <v>400</v>
      </c>
      <c r="I572" s="5"/>
    </row>
    <row r="573" spans="2:10" x14ac:dyDescent="0.25">
      <c r="D573" s="6"/>
      <c r="I573" s="6"/>
    </row>
    <row r="574" spans="2:10" x14ac:dyDescent="0.25">
      <c r="D574" s="6"/>
      <c r="I574" s="6"/>
    </row>
    <row r="575" spans="2:10" x14ac:dyDescent="0.25">
      <c r="D575" s="6"/>
      <c r="I575" s="6"/>
    </row>
    <row r="576" spans="2:10" x14ac:dyDescent="0.25">
      <c r="D576" s="6"/>
      <c r="I576" s="6"/>
    </row>
    <row r="578" spans="2:10" x14ac:dyDescent="0.25">
      <c r="B578" s="28"/>
      <c r="C578" s="4" t="str">
        <f>E539</f>
        <v>koszty zarządu</v>
      </c>
      <c r="D578" s="4"/>
      <c r="E578" s="28"/>
      <c r="G578" s="4"/>
      <c r="H578" s="4"/>
      <c r="I578" s="4"/>
      <c r="J578" s="28"/>
    </row>
    <row r="579" spans="2:10" x14ac:dyDescent="0.25">
      <c r="C579" s="1">
        <f>I564*D539</f>
        <v>100</v>
      </c>
      <c r="D579" s="5"/>
      <c r="I579" s="5"/>
    </row>
    <row r="580" spans="2:10" x14ac:dyDescent="0.25">
      <c r="D580" s="6"/>
      <c r="I580" s="6"/>
    </row>
    <row r="581" spans="2:10" x14ac:dyDescent="0.25">
      <c r="D581" s="6"/>
      <c r="I581" s="6"/>
    </row>
    <row r="582" spans="2:10" x14ac:dyDescent="0.25">
      <c r="D582" s="6"/>
      <c r="I582" s="6"/>
    </row>
    <row r="583" spans="2:10" x14ac:dyDescent="0.25">
      <c r="B583" s="27" t="s">
        <v>409</v>
      </c>
      <c r="C583" s="2"/>
      <c r="D583" s="2"/>
      <c r="E583" s="27"/>
      <c r="F583" s="27"/>
      <c r="I583" s="6"/>
    </row>
    <row r="584" spans="2:10" x14ac:dyDescent="0.25">
      <c r="B584" s="27" t="s">
        <v>410</v>
      </c>
    </row>
    <row r="585" spans="2:10" x14ac:dyDescent="0.25">
      <c r="H585" s="1" t="s">
        <v>422</v>
      </c>
    </row>
    <row r="586" spans="2:10" x14ac:dyDescent="0.25">
      <c r="B586" s="28"/>
      <c r="C586" s="4" t="s">
        <v>6</v>
      </c>
      <c r="D586" s="4"/>
      <c r="E586" s="28"/>
      <c r="G586" s="4"/>
      <c r="H586" s="4" t="s">
        <v>376</v>
      </c>
      <c r="I586" s="4"/>
      <c r="J586" s="28"/>
    </row>
    <row r="587" spans="2:10" x14ac:dyDescent="0.25">
      <c r="B587" s="26" t="s">
        <v>2</v>
      </c>
      <c r="C587" s="1">
        <v>5000000</v>
      </c>
      <c r="D587" s="5">
        <f>C587</f>
        <v>5000000</v>
      </c>
      <c r="E587" s="26" t="s">
        <v>7</v>
      </c>
      <c r="G587" s="68" t="s">
        <v>297</v>
      </c>
      <c r="H587" s="68">
        <f>C608</f>
        <v>83333.333333333328</v>
      </c>
      <c r="I587" s="5">
        <f>C587</f>
        <v>5000000</v>
      </c>
      <c r="J587" s="26" t="str">
        <f>B587</f>
        <v>1)</v>
      </c>
    </row>
    <row r="588" spans="2:10" x14ac:dyDescent="0.25">
      <c r="D588" s="6"/>
      <c r="I588" s="6"/>
    </row>
    <row r="589" spans="2:10" x14ac:dyDescent="0.25">
      <c r="D589" s="6"/>
      <c r="I589" s="6"/>
    </row>
    <row r="590" spans="2:10" x14ac:dyDescent="0.25">
      <c r="D590" s="6"/>
      <c r="I590" s="6"/>
    </row>
    <row r="591" spans="2:10" x14ac:dyDescent="0.25">
      <c r="D591" s="6"/>
      <c r="I591" s="6"/>
    </row>
    <row r="593" spans="2:10" x14ac:dyDescent="0.25">
      <c r="B593" s="28"/>
      <c r="C593" s="4" t="s">
        <v>99</v>
      </c>
      <c r="D593" s="4"/>
      <c r="E593" s="28"/>
      <c r="G593" s="4"/>
      <c r="H593" s="4" t="s">
        <v>104</v>
      </c>
      <c r="I593" s="4"/>
      <c r="J593" s="28"/>
    </row>
    <row r="594" spans="2:10" x14ac:dyDescent="0.25">
      <c r="B594" s="26" t="str">
        <f>E587</f>
        <v>2)</v>
      </c>
      <c r="C594" s="1">
        <f>D587</f>
        <v>5000000</v>
      </c>
      <c r="D594" s="5"/>
      <c r="I594" s="63">
        <v>3000</v>
      </c>
      <c r="J594" s="50" t="s">
        <v>9</v>
      </c>
    </row>
    <row r="595" spans="2:10" x14ac:dyDescent="0.25">
      <c r="D595" s="6"/>
      <c r="I595" s="49" t="s">
        <v>442</v>
      </c>
    </row>
    <row r="596" spans="2:10" x14ac:dyDescent="0.25">
      <c r="D596" s="6"/>
      <c r="I596" s="6"/>
    </row>
    <row r="597" spans="2:10" x14ac:dyDescent="0.25">
      <c r="D597" s="6"/>
      <c r="I597" s="6"/>
    </row>
    <row r="598" spans="2:10" x14ac:dyDescent="0.25">
      <c r="D598" s="6"/>
      <c r="I598" s="6"/>
    </row>
    <row r="599" spans="2:10" x14ac:dyDescent="0.25">
      <c r="C599" s="1" t="s">
        <v>443</v>
      </c>
    </row>
    <row r="600" spans="2:10" x14ac:dyDescent="0.25">
      <c r="B600" s="28"/>
      <c r="C600" s="4" t="s">
        <v>444</v>
      </c>
      <c r="D600" s="4"/>
      <c r="E600" s="28"/>
      <c r="G600" s="4"/>
      <c r="H600" s="4" t="s">
        <v>119</v>
      </c>
      <c r="I600" s="4"/>
      <c r="J600" s="28"/>
    </row>
    <row r="601" spans="2:10" x14ac:dyDescent="0.25">
      <c r="B601" s="50" t="str">
        <f>J594</f>
        <v>3)</v>
      </c>
      <c r="C601" s="38">
        <f>I594</f>
        <v>3000</v>
      </c>
      <c r="D601" s="63">
        <f>H601</f>
        <v>1000</v>
      </c>
      <c r="E601" s="50" t="str">
        <f>G601</f>
        <v>3a)</v>
      </c>
      <c r="G601" s="38" t="s">
        <v>292</v>
      </c>
      <c r="H601" s="38">
        <v>1000</v>
      </c>
      <c r="I601" s="5"/>
    </row>
    <row r="602" spans="2:10" x14ac:dyDescent="0.25">
      <c r="D602" s="6"/>
      <c r="I602" s="6"/>
    </row>
    <row r="603" spans="2:10" x14ac:dyDescent="0.25">
      <c r="D603" s="6"/>
      <c r="I603" s="6"/>
    </row>
    <row r="604" spans="2:10" x14ac:dyDescent="0.25">
      <c r="D604" s="6"/>
      <c r="I604" s="6"/>
    </row>
    <row r="605" spans="2:10" x14ac:dyDescent="0.25">
      <c r="D605" s="6"/>
      <c r="I605" s="6"/>
    </row>
    <row r="607" spans="2:10" x14ac:dyDescent="0.25">
      <c r="B607" s="28"/>
      <c r="C607" s="4" t="s">
        <v>111</v>
      </c>
      <c r="D607" s="4"/>
      <c r="E607" s="28"/>
      <c r="G607" s="4"/>
      <c r="H607" s="4" t="s">
        <v>112</v>
      </c>
      <c r="I607" s="4"/>
      <c r="J607" s="28"/>
    </row>
    <row r="608" spans="2:10" x14ac:dyDescent="0.25">
      <c r="B608" s="71" t="s">
        <v>28</v>
      </c>
      <c r="C608" s="2">
        <f>C594/5/12</f>
        <v>83333.333333333328</v>
      </c>
      <c r="D608" s="5"/>
      <c r="I608" s="121">
        <f>C608</f>
        <v>83333.333333333328</v>
      </c>
      <c r="J608" s="51" t="str">
        <f>B608</f>
        <v>4)</v>
      </c>
    </row>
    <row r="609" spans="2:10" x14ac:dyDescent="0.25">
      <c r="D609" s="6"/>
      <c r="I609" s="6"/>
    </row>
    <row r="610" spans="2:10" x14ac:dyDescent="0.25">
      <c r="D610" s="6"/>
      <c r="I610" s="6"/>
    </row>
    <row r="611" spans="2:10" x14ac:dyDescent="0.25">
      <c r="D611" s="6"/>
      <c r="I611" s="6"/>
    </row>
    <row r="612" spans="2:10" x14ac:dyDescent="0.25">
      <c r="D612" s="6"/>
      <c r="I612" s="6"/>
    </row>
    <row r="614" spans="2:10" x14ac:dyDescent="0.25">
      <c r="B614" s="28"/>
      <c r="C614" s="4" t="s">
        <v>378</v>
      </c>
      <c r="D614" s="4"/>
      <c r="E614" s="28"/>
      <c r="G614" s="4"/>
      <c r="H614" s="4"/>
      <c r="I614" s="4"/>
      <c r="J614" s="28"/>
    </row>
    <row r="615" spans="2:10" x14ac:dyDescent="0.25">
      <c r="D615" s="63">
        <f>H587</f>
        <v>83333.333333333328</v>
      </c>
      <c r="E615" s="50" t="str">
        <f>G587</f>
        <v>4a)</v>
      </c>
      <c r="I615" s="5"/>
    </row>
    <row r="616" spans="2:10" x14ac:dyDescent="0.25">
      <c r="D616" s="6" t="s">
        <v>421</v>
      </c>
      <c r="I616" s="6"/>
    </row>
    <row r="617" spans="2:10" x14ac:dyDescent="0.25">
      <c r="D617" s="6" t="s">
        <v>420</v>
      </c>
      <c r="I617" s="6"/>
    </row>
    <row r="618" spans="2:10" x14ac:dyDescent="0.25">
      <c r="D618" s="6"/>
      <c r="I618" s="6"/>
    </row>
    <row r="619" spans="2:10" x14ac:dyDescent="0.25">
      <c r="D619" s="6"/>
      <c r="I619" s="6"/>
    </row>
    <row r="620" spans="2:10" x14ac:dyDescent="0.25">
      <c r="B620" s="27" t="s">
        <v>415</v>
      </c>
      <c r="E620" s="33"/>
      <c r="F620" s="26" t="s">
        <v>441</v>
      </c>
    </row>
    <row r="622" spans="2:10" x14ac:dyDescent="0.25">
      <c r="B622" s="28"/>
      <c r="C622" s="76" t="s">
        <v>188</v>
      </c>
      <c r="D622" s="4"/>
      <c r="E622" s="28"/>
      <c r="G622" s="4"/>
      <c r="H622" s="4" t="s">
        <v>141</v>
      </c>
      <c r="I622" s="4"/>
      <c r="J622" s="28"/>
    </row>
    <row r="623" spans="2:10" x14ac:dyDescent="0.25">
      <c r="B623" s="26" t="s">
        <v>431</v>
      </c>
      <c r="C623" s="1">
        <f>D623</f>
        <v>5000</v>
      </c>
      <c r="D623" s="5">
        <v>5000</v>
      </c>
      <c r="E623" s="26" t="s">
        <v>2</v>
      </c>
      <c r="I623" s="5">
        <f>D623*0.23</f>
        <v>1150</v>
      </c>
      <c r="J623" s="26" t="str">
        <f>E623</f>
        <v>1)</v>
      </c>
    </row>
    <row r="624" spans="2:10" x14ac:dyDescent="0.25">
      <c r="D624" s="6"/>
      <c r="I624" s="6"/>
    </row>
    <row r="625" spans="2:11" x14ac:dyDescent="0.25">
      <c r="D625" s="6"/>
      <c r="I625" s="6"/>
    </row>
    <row r="626" spans="2:11" x14ac:dyDescent="0.25">
      <c r="D626" s="6"/>
      <c r="I626" s="6"/>
    </row>
    <row r="627" spans="2:11" x14ac:dyDescent="0.25">
      <c r="D627" s="6"/>
      <c r="I627" s="6"/>
    </row>
    <row r="629" spans="2:11" x14ac:dyDescent="0.25">
      <c r="B629" s="28"/>
      <c r="C629" s="4" t="s">
        <v>161</v>
      </c>
      <c r="D629" s="4"/>
      <c r="E629" s="28"/>
      <c r="G629" s="4"/>
      <c r="H629" s="4" t="s">
        <v>137</v>
      </c>
      <c r="I629" s="4"/>
      <c r="J629" s="28"/>
    </row>
    <row r="630" spans="2:11" x14ac:dyDescent="0.25">
      <c r="B630" s="26" t="str">
        <f>E623</f>
        <v>1)</v>
      </c>
      <c r="C630" s="1">
        <f>D623+I623</f>
        <v>6150</v>
      </c>
      <c r="D630" s="5"/>
      <c r="G630" s="1" t="s">
        <v>101</v>
      </c>
      <c r="H630" s="1">
        <v>20000</v>
      </c>
      <c r="I630" s="5">
        <v>3000</v>
      </c>
      <c r="J630" s="26" t="s">
        <v>7</v>
      </c>
    </row>
    <row r="631" spans="2:11" x14ac:dyDescent="0.25">
      <c r="B631" s="26" t="str">
        <f>J651</f>
        <v>5)</v>
      </c>
      <c r="C631" s="1">
        <f>I651</f>
        <v>4000</v>
      </c>
      <c r="D631" s="6"/>
      <c r="I631" s="36">
        <f>H665</f>
        <v>10000</v>
      </c>
      <c r="J631" s="51" t="str">
        <f>G665</f>
        <v>8)</v>
      </c>
      <c r="K631" s="1" t="s">
        <v>424</v>
      </c>
    </row>
    <row r="632" spans="2:11" x14ac:dyDescent="0.25">
      <c r="B632" s="26" t="str">
        <f>E665</f>
        <v>7)</v>
      </c>
      <c r="C632" s="1">
        <f>D665</f>
        <v>1500</v>
      </c>
      <c r="D632" s="6"/>
      <c r="I632" s="6"/>
      <c r="K632" s="1" t="s">
        <v>425</v>
      </c>
    </row>
    <row r="633" spans="2:11" x14ac:dyDescent="0.25">
      <c r="D633" s="6"/>
      <c r="I633" s="6"/>
      <c r="K633" s="1" t="s">
        <v>426</v>
      </c>
    </row>
    <row r="634" spans="2:11" x14ac:dyDescent="0.25">
      <c r="D634" s="6"/>
      <c r="I634" s="6"/>
      <c r="K634" s="1" t="s">
        <v>427</v>
      </c>
    </row>
    <row r="636" spans="2:11" x14ac:dyDescent="0.25">
      <c r="B636" s="28"/>
      <c r="C636" s="76" t="s">
        <v>142</v>
      </c>
      <c r="D636" s="4"/>
      <c r="E636" s="28"/>
      <c r="G636" s="4"/>
      <c r="H636" s="76" t="s">
        <v>119</v>
      </c>
      <c r="I636" s="4"/>
      <c r="J636" s="28"/>
    </row>
    <row r="637" spans="2:11" x14ac:dyDescent="0.25">
      <c r="B637" s="26" t="str">
        <f>J630</f>
        <v>2)</v>
      </c>
      <c r="C637" s="1">
        <f>I630</f>
        <v>3000</v>
      </c>
      <c r="D637" s="5">
        <f>C637</f>
        <v>3000</v>
      </c>
      <c r="G637" s="1" t="s">
        <v>9</v>
      </c>
      <c r="H637" s="1">
        <v>100</v>
      </c>
      <c r="I637" s="5">
        <f>H637</f>
        <v>100</v>
      </c>
    </row>
    <row r="638" spans="2:11" x14ac:dyDescent="0.25">
      <c r="D638" s="6"/>
      <c r="I638" s="6"/>
    </row>
    <row r="639" spans="2:11" x14ac:dyDescent="0.25">
      <c r="D639" s="6"/>
      <c r="I639" s="6"/>
    </row>
    <row r="640" spans="2:11" x14ac:dyDescent="0.25">
      <c r="D640" s="6"/>
      <c r="I640" s="6"/>
    </row>
    <row r="641" spans="2:10" x14ac:dyDescent="0.25">
      <c r="D641" s="6"/>
      <c r="I641" s="6"/>
    </row>
    <row r="643" spans="2:10" x14ac:dyDescent="0.25">
      <c r="B643" s="28"/>
      <c r="C643" s="4" t="s">
        <v>104</v>
      </c>
      <c r="D643" s="4"/>
      <c r="E643" s="28"/>
      <c r="G643" s="4"/>
      <c r="H643" s="4" t="s">
        <v>158</v>
      </c>
      <c r="I643" s="4"/>
      <c r="J643" s="28"/>
    </row>
    <row r="644" spans="2:10" x14ac:dyDescent="0.25">
      <c r="D644" s="5">
        <f>H637*1.23</f>
        <v>123</v>
      </c>
      <c r="E644" s="26" t="str">
        <f>G637</f>
        <v>3)</v>
      </c>
      <c r="G644" s="1" t="str">
        <f>G637</f>
        <v>3)</v>
      </c>
      <c r="H644" s="1">
        <f>D644-H637</f>
        <v>23</v>
      </c>
      <c r="I644" s="5"/>
    </row>
    <row r="645" spans="2:10" x14ac:dyDescent="0.25">
      <c r="D645" s="6">
        <f>C651*1.23</f>
        <v>615</v>
      </c>
      <c r="E645" s="26" t="str">
        <f>B651</f>
        <v>4)</v>
      </c>
      <c r="G645" s="1" t="str">
        <f>E645</f>
        <v>4)</v>
      </c>
      <c r="H645" s="1">
        <f>D645-C651</f>
        <v>115</v>
      </c>
      <c r="I645" s="6"/>
    </row>
    <row r="646" spans="2:10" x14ac:dyDescent="0.25">
      <c r="D646" s="6"/>
      <c r="I646" s="6"/>
    </row>
    <row r="647" spans="2:10" x14ac:dyDescent="0.25">
      <c r="D647" s="6"/>
      <c r="I647" s="6"/>
    </row>
    <row r="648" spans="2:10" x14ac:dyDescent="0.25">
      <c r="D648" s="6"/>
      <c r="I648" s="6"/>
    </row>
    <row r="650" spans="2:10" x14ac:dyDescent="0.25">
      <c r="B650" s="28"/>
      <c r="C650" s="76" t="s">
        <v>258</v>
      </c>
      <c r="D650" s="4"/>
      <c r="E650" s="28"/>
      <c r="G650" s="4"/>
      <c r="H650" s="76" t="s">
        <v>378</v>
      </c>
      <c r="I650" s="4"/>
      <c r="J650" s="28"/>
    </row>
    <row r="651" spans="2:10" x14ac:dyDescent="0.25">
      <c r="B651" s="26" t="s">
        <v>28</v>
      </c>
      <c r="C651" s="1">
        <v>500</v>
      </c>
      <c r="D651" s="5">
        <f>C651</f>
        <v>500</v>
      </c>
      <c r="H651" s="1">
        <f>I651</f>
        <v>4000</v>
      </c>
      <c r="I651" s="5">
        <v>4000</v>
      </c>
      <c r="J651" s="26" t="s">
        <v>98</v>
      </c>
    </row>
    <row r="652" spans="2:10" x14ac:dyDescent="0.25">
      <c r="D652" s="6"/>
      <c r="I652" s="6"/>
    </row>
    <row r="653" spans="2:10" x14ac:dyDescent="0.25">
      <c r="D653" s="6"/>
      <c r="I653" s="6"/>
    </row>
    <row r="654" spans="2:10" x14ac:dyDescent="0.25">
      <c r="D654" s="6"/>
      <c r="I654" s="6"/>
    </row>
    <row r="655" spans="2:10" x14ac:dyDescent="0.25">
      <c r="D655" s="6"/>
      <c r="I655" s="6"/>
    </row>
    <row r="657" spans="2:10" x14ac:dyDescent="0.25">
      <c r="B657" s="28"/>
      <c r="C657" s="4" t="s">
        <v>417</v>
      </c>
      <c r="D657" s="4"/>
      <c r="E657" s="28"/>
      <c r="G657" s="4"/>
      <c r="H657" s="76" t="s">
        <v>416</v>
      </c>
      <c r="I657" s="4"/>
      <c r="J657" s="28"/>
    </row>
    <row r="658" spans="2:10" x14ac:dyDescent="0.25">
      <c r="B658" s="26" t="s">
        <v>101</v>
      </c>
      <c r="C658" s="1" t="s">
        <v>100</v>
      </c>
      <c r="D658" s="5">
        <v>2000</v>
      </c>
      <c r="E658" s="26" t="s">
        <v>113</v>
      </c>
      <c r="G658" s="1" t="str">
        <f>E658</f>
        <v>6)</v>
      </c>
      <c r="H658" s="1">
        <f>D658</f>
        <v>2000</v>
      </c>
      <c r="I658" s="5">
        <f>H658</f>
        <v>2000</v>
      </c>
    </row>
    <row r="659" spans="2:10" x14ac:dyDescent="0.25">
      <c r="D659" s="6"/>
      <c r="I659" s="6"/>
    </row>
    <row r="660" spans="2:10" x14ac:dyDescent="0.25">
      <c r="D660" s="6"/>
      <c r="I660" s="6"/>
    </row>
    <row r="661" spans="2:10" x14ac:dyDescent="0.25">
      <c r="D661" s="6"/>
      <c r="I661" s="6"/>
    </row>
    <row r="662" spans="2:10" x14ac:dyDescent="0.25">
      <c r="D662" s="6"/>
      <c r="I662" s="6"/>
    </row>
    <row r="664" spans="2:10" x14ac:dyDescent="0.25">
      <c r="B664" s="28"/>
      <c r="C664" s="76" t="s">
        <v>217</v>
      </c>
      <c r="D664" s="4"/>
      <c r="E664" s="28"/>
      <c r="G664" s="4"/>
      <c r="H664" s="76" t="s">
        <v>423</v>
      </c>
      <c r="I664" s="4"/>
      <c r="J664" s="28"/>
    </row>
    <row r="665" spans="2:10" x14ac:dyDescent="0.25">
      <c r="C665" s="1">
        <f>D665+D666</f>
        <v>26500</v>
      </c>
      <c r="D665" s="5">
        <v>1500</v>
      </c>
      <c r="E665" s="26" t="s">
        <v>144</v>
      </c>
      <c r="G665" s="1" t="s">
        <v>214</v>
      </c>
      <c r="H665" s="1">
        <v>10000</v>
      </c>
      <c r="I665" s="5">
        <f>H665</f>
        <v>10000</v>
      </c>
    </row>
    <row r="666" spans="2:10" x14ac:dyDescent="0.25">
      <c r="D666" s="6">
        <v>25000</v>
      </c>
      <c r="E666" s="26" t="s">
        <v>429</v>
      </c>
      <c r="I666" s="6"/>
    </row>
    <row r="667" spans="2:10" x14ac:dyDescent="0.25">
      <c r="D667" s="6"/>
      <c r="I667" s="6"/>
    </row>
    <row r="668" spans="2:10" x14ac:dyDescent="0.25">
      <c r="D668" s="6"/>
      <c r="I668" s="6"/>
    </row>
    <row r="669" spans="2:10" x14ac:dyDescent="0.25">
      <c r="D669" s="6"/>
      <c r="I669" s="6"/>
    </row>
    <row r="671" spans="2:10" x14ac:dyDescent="0.25">
      <c r="B671" s="28"/>
      <c r="C671" s="76" t="s">
        <v>428</v>
      </c>
      <c r="D671" s="4"/>
      <c r="E671" s="28"/>
      <c r="G671" s="4"/>
      <c r="H671" s="4" t="s">
        <v>6</v>
      </c>
      <c r="I671" s="4"/>
      <c r="J671" s="28"/>
    </row>
    <row r="672" spans="2:10" x14ac:dyDescent="0.25">
      <c r="C672" s="1">
        <f>D672</f>
        <v>12000</v>
      </c>
      <c r="D672" s="5">
        <v>12000</v>
      </c>
      <c r="E672" s="26" t="s">
        <v>270</v>
      </c>
      <c r="G672" s="1" t="str">
        <f>E672</f>
        <v>9)</v>
      </c>
      <c r="H672" s="1">
        <f>D672</f>
        <v>12000</v>
      </c>
      <c r="I672" s="5"/>
    </row>
    <row r="673" spans="2:10" x14ac:dyDescent="0.25">
      <c r="D673" s="6"/>
      <c r="G673" s="1" t="str">
        <f>E666</f>
        <v>10)</v>
      </c>
      <c r="H673" s="1">
        <f>D666</f>
        <v>25000</v>
      </c>
      <c r="I673" s="6"/>
    </row>
    <row r="674" spans="2:10" x14ac:dyDescent="0.25">
      <c r="D674" s="6"/>
      <c r="I674" s="6"/>
    </row>
    <row r="675" spans="2:10" x14ac:dyDescent="0.25">
      <c r="D675" s="6"/>
      <c r="I675" s="6"/>
    </row>
    <row r="676" spans="2:10" x14ac:dyDescent="0.25">
      <c r="D676" s="6"/>
      <c r="I676" s="6"/>
    </row>
    <row r="678" spans="2:10" x14ac:dyDescent="0.25">
      <c r="B678" s="28"/>
      <c r="C678" s="4" t="s">
        <v>430</v>
      </c>
      <c r="D678" s="4"/>
      <c r="E678" s="28"/>
      <c r="G678" s="4"/>
      <c r="H678" s="4" t="s">
        <v>433</v>
      </c>
      <c r="I678" s="4"/>
      <c r="J678" s="28"/>
    </row>
    <row r="679" spans="2:10" x14ac:dyDescent="0.25">
      <c r="C679" s="1">
        <f>D637</f>
        <v>3000</v>
      </c>
      <c r="D679" s="5">
        <f>C623</f>
        <v>5000</v>
      </c>
      <c r="I679" s="34">
        <f>D683</f>
        <v>31900</v>
      </c>
    </row>
    <row r="680" spans="2:10" x14ac:dyDescent="0.25">
      <c r="C680" s="1">
        <f>I637</f>
        <v>100</v>
      </c>
      <c r="D680" s="6">
        <f>H651</f>
        <v>4000</v>
      </c>
      <c r="I680" s="6"/>
    </row>
    <row r="681" spans="2:10" x14ac:dyDescent="0.25">
      <c r="C681" s="1">
        <f>D651</f>
        <v>500</v>
      </c>
      <c r="D681" s="6">
        <f>C665</f>
        <v>26500</v>
      </c>
      <c r="I681" s="6"/>
    </row>
    <row r="682" spans="2:10" x14ac:dyDescent="0.25">
      <c r="C682" s="1">
        <f>I658</f>
        <v>2000</v>
      </c>
      <c r="D682" s="6">
        <f>C672</f>
        <v>12000</v>
      </c>
      <c r="I682" s="6"/>
    </row>
    <row r="683" spans="2:10" x14ac:dyDescent="0.25">
      <c r="B683" s="28"/>
      <c r="C683" s="4">
        <f>I665</f>
        <v>10000</v>
      </c>
      <c r="D683" s="154">
        <f>SUM(D679:D682)-SUM(C679:C683)</f>
        <v>31900</v>
      </c>
      <c r="E683" s="28"/>
      <c r="I683" s="6"/>
    </row>
    <row r="684" spans="2:10" x14ac:dyDescent="0.25">
      <c r="D684" s="5"/>
    </row>
    <row r="685" spans="2:10" x14ac:dyDescent="0.25">
      <c r="D685" s="6"/>
    </row>
    <row r="686" spans="2:10" x14ac:dyDescent="0.25">
      <c r="C686" s="1" t="s">
        <v>432</v>
      </c>
    </row>
    <row r="688" spans="2:10" x14ac:dyDescent="0.25">
      <c r="B688" s="27" t="s">
        <v>447</v>
      </c>
      <c r="E688" s="1"/>
      <c r="I688" s="14"/>
      <c r="J688" s="30"/>
    </row>
    <row r="689" spans="2:11" x14ac:dyDescent="0.25">
      <c r="B689" s="159" t="s">
        <v>448</v>
      </c>
      <c r="C689" s="14"/>
      <c r="D689" s="14"/>
      <c r="E689" s="14"/>
      <c r="F689" s="14"/>
      <c r="G689" s="14"/>
      <c r="I689" s="14"/>
      <c r="J689" s="30"/>
      <c r="K689" s="14"/>
    </row>
    <row r="690" spans="2:11" x14ac:dyDescent="0.25">
      <c r="B690" s="23" t="s">
        <v>449</v>
      </c>
      <c r="C690" s="4"/>
      <c r="D690" s="4"/>
      <c r="E690" s="4"/>
      <c r="F690" s="4"/>
      <c r="G690" s="4"/>
      <c r="I690" s="14"/>
      <c r="J690" s="30"/>
      <c r="K690" s="14"/>
    </row>
    <row r="691" spans="2:11" x14ac:dyDescent="0.25">
      <c r="B691" s="168" t="s">
        <v>450</v>
      </c>
      <c r="C691" s="168"/>
      <c r="D691" s="168"/>
      <c r="E691" s="168"/>
      <c r="F691" s="168"/>
      <c r="G691" s="168"/>
      <c r="H691" s="158"/>
      <c r="I691" s="6"/>
    </row>
    <row r="692" spans="2:11" x14ac:dyDescent="0.25">
      <c r="B692" s="169" t="s">
        <v>451</v>
      </c>
      <c r="C692" s="169"/>
      <c r="D692" s="169"/>
      <c r="E692" s="169"/>
      <c r="F692" s="169"/>
      <c r="G692" s="169"/>
      <c r="H692" s="158"/>
      <c r="I692" s="6"/>
    </row>
    <row r="693" spans="2:11" x14ac:dyDescent="0.25">
      <c r="B693" s="169" t="s">
        <v>452</v>
      </c>
      <c r="C693" s="170"/>
      <c r="D693" s="170"/>
      <c r="E693" s="170"/>
      <c r="F693" s="170"/>
      <c r="G693" s="170"/>
      <c r="H693" s="158"/>
      <c r="I693" s="6"/>
    </row>
    <row r="694" spans="2:11" x14ac:dyDescent="0.25">
      <c r="B694" s="169" t="s">
        <v>453</v>
      </c>
      <c r="C694" s="170"/>
      <c r="D694" s="170"/>
      <c r="E694" s="170"/>
      <c r="F694" s="170"/>
      <c r="G694" s="170"/>
      <c r="H694" s="158"/>
    </row>
    <row r="695" spans="2:11" x14ac:dyDescent="0.25">
      <c r="B695" s="169" t="s">
        <v>454</v>
      </c>
      <c r="C695" s="170"/>
      <c r="D695" s="170"/>
      <c r="E695" s="170"/>
      <c r="F695" s="170"/>
      <c r="G695" s="170"/>
      <c r="H695" s="158"/>
    </row>
    <row r="696" spans="2:11" x14ac:dyDescent="0.25">
      <c r="B696" s="169" t="s">
        <v>455</v>
      </c>
      <c r="C696" s="170"/>
      <c r="D696" s="170"/>
      <c r="E696" s="170"/>
      <c r="F696" s="170"/>
      <c r="G696" s="170"/>
      <c r="H696" s="158"/>
    </row>
    <row r="697" spans="2:11" x14ac:dyDescent="0.25">
      <c r="B697" s="169" t="s">
        <v>456</v>
      </c>
      <c r="C697" s="170"/>
      <c r="D697" s="170"/>
      <c r="E697" s="170"/>
      <c r="F697" s="170"/>
      <c r="G697" s="170"/>
      <c r="H697" s="158"/>
    </row>
    <row r="698" spans="2:11" x14ac:dyDescent="0.25">
      <c r="B698" s="169" t="s">
        <v>457</v>
      </c>
      <c r="C698" s="170"/>
      <c r="D698" s="170"/>
      <c r="E698" s="170"/>
      <c r="F698" s="170"/>
      <c r="G698" s="170"/>
      <c r="H698" s="158"/>
    </row>
    <row r="699" spans="2:11" x14ac:dyDescent="0.25">
      <c r="B699" s="169" t="s">
        <v>458</v>
      </c>
      <c r="C699" s="170"/>
      <c r="D699" s="170"/>
      <c r="E699" s="170"/>
      <c r="F699" s="170"/>
      <c r="G699" s="170"/>
      <c r="H699" s="158"/>
    </row>
    <row r="700" spans="2:11" x14ac:dyDescent="0.25">
      <c r="B700" s="169" t="s">
        <v>459</v>
      </c>
      <c r="C700" s="170"/>
      <c r="D700" s="170"/>
      <c r="E700" s="170"/>
      <c r="F700" s="170"/>
      <c r="G700" s="170"/>
      <c r="H700" s="158"/>
    </row>
    <row r="701" spans="2:11" x14ac:dyDescent="0.25">
      <c r="B701" s="169" t="s">
        <v>460</v>
      </c>
      <c r="C701" s="170"/>
      <c r="D701" s="170"/>
      <c r="E701" s="170"/>
      <c r="F701" s="170"/>
      <c r="G701" s="170"/>
      <c r="H701" s="158"/>
    </row>
    <row r="702" spans="2:11" x14ac:dyDescent="0.25">
      <c r="B702" s="169" t="s">
        <v>461</v>
      </c>
      <c r="C702" s="170"/>
      <c r="D702" s="170"/>
      <c r="E702" s="170"/>
      <c r="F702" s="170"/>
      <c r="G702" s="170"/>
      <c r="H702" s="158"/>
    </row>
    <row r="703" spans="2:11" x14ac:dyDescent="0.25">
      <c r="B703" s="169" t="s">
        <v>462</v>
      </c>
      <c r="C703" s="170"/>
      <c r="D703" s="170"/>
      <c r="E703" s="170"/>
      <c r="F703" s="170"/>
      <c r="G703" s="170"/>
      <c r="H703" s="158"/>
    </row>
    <row r="704" spans="2:11" x14ac:dyDescent="0.25">
      <c r="B704" s="169" t="s">
        <v>463</v>
      </c>
      <c r="C704" s="170"/>
      <c r="D704" s="170"/>
      <c r="E704" s="170"/>
      <c r="F704" s="170"/>
      <c r="G704" s="170"/>
      <c r="H704" s="158"/>
    </row>
    <row r="705" spans="2:8" x14ac:dyDescent="0.25">
      <c r="B705" s="169" t="s">
        <v>464</v>
      </c>
      <c r="C705" s="170"/>
      <c r="D705" s="170"/>
      <c r="E705" s="170"/>
      <c r="F705" s="170"/>
      <c r="G705" s="170"/>
      <c r="H705" s="158"/>
    </row>
    <row r="706" spans="2:8" x14ac:dyDescent="0.25">
      <c r="B706" s="169" t="s">
        <v>465</v>
      </c>
      <c r="C706" s="170"/>
      <c r="D706" s="170"/>
      <c r="E706" s="170"/>
      <c r="F706" s="170"/>
      <c r="G706" s="170"/>
      <c r="H706" s="158"/>
    </row>
    <row r="707" spans="2:8" x14ac:dyDescent="0.25">
      <c r="B707" s="169" t="s">
        <v>466</v>
      </c>
      <c r="C707" s="170"/>
      <c r="D707" s="170"/>
      <c r="E707" s="170"/>
      <c r="F707" s="170"/>
      <c r="G707" s="170"/>
      <c r="H707" s="158"/>
    </row>
    <row r="708" spans="2:8" x14ac:dyDescent="0.25">
      <c r="B708" s="169" t="s">
        <v>467</v>
      </c>
      <c r="C708" s="170"/>
      <c r="D708" s="170"/>
      <c r="E708" s="170"/>
      <c r="F708" s="170"/>
      <c r="G708" s="170"/>
      <c r="H708" s="158"/>
    </row>
    <row r="709" spans="2:8" x14ac:dyDescent="0.25">
      <c r="B709" s="169" t="s">
        <v>468</v>
      </c>
      <c r="C709" s="170"/>
      <c r="D709" s="170"/>
      <c r="E709" s="170"/>
      <c r="F709" s="170"/>
      <c r="G709" s="170"/>
      <c r="H709" s="158"/>
    </row>
    <row r="710" spans="2:8" x14ac:dyDescent="0.25">
      <c r="B710" s="169" t="s">
        <v>469</v>
      </c>
      <c r="C710" s="170"/>
      <c r="D710" s="170"/>
      <c r="E710" s="170"/>
      <c r="F710" s="170"/>
      <c r="G710" s="170"/>
      <c r="H710" s="158"/>
    </row>
    <row r="711" spans="2:8" x14ac:dyDescent="0.25">
      <c r="B711" s="169" t="s">
        <v>470</v>
      </c>
      <c r="C711" s="170"/>
      <c r="D711" s="170"/>
      <c r="E711" s="170"/>
      <c r="F711" s="170"/>
      <c r="G711" s="170"/>
      <c r="H711" s="158"/>
    </row>
    <row r="712" spans="2:8" x14ac:dyDescent="0.25">
      <c r="B712" s="169" t="s">
        <v>471</v>
      </c>
      <c r="C712" s="170"/>
      <c r="D712" s="170"/>
      <c r="E712" s="170"/>
      <c r="F712" s="170"/>
      <c r="G712" s="170"/>
      <c r="H712" s="158"/>
    </row>
    <row r="713" spans="2:8" x14ac:dyDescent="0.25">
      <c r="B713" s="169" t="s">
        <v>472</v>
      </c>
      <c r="C713" s="170"/>
      <c r="D713" s="170"/>
      <c r="E713" s="170"/>
      <c r="F713" s="170"/>
      <c r="G713" s="170"/>
      <c r="H713" s="158"/>
    </row>
    <row r="714" spans="2:8" x14ac:dyDescent="0.25">
      <c r="B714" s="169" t="s">
        <v>473</v>
      </c>
      <c r="C714" s="170"/>
      <c r="D714" s="170"/>
      <c r="E714" s="170"/>
      <c r="F714" s="170"/>
      <c r="G714" s="170"/>
      <c r="H714" s="158"/>
    </row>
    <row r="715" spans="2:8" x14ac:dyDescent="0.25">
      <c r="B715" s="169" t="s">
        <v>474</v>
      </c>
      <c r="C715" s="170"/>
      <c r="D715" s="170"/>
      <c r="E715" s="170"/>
      <c r="F715" s="170"/>
      <c r="G715" s="170"/>
      <c r="H715" s="158"/>
    </row>
    <row r="716" spans="2:8" x14ac:dyDescent="0.25">
      <c r="B716" s="169" t="s">
        <v>475</v>
      </c>
      <c r="C716" s="170"/>
      <c r="D716" s="170"/>
      <c r="E716" s="170"/>
      <c r="F716" s="170"/>
      <c r="G716" s="170"/>
      <c r="H716" s="158"/>
    </row>
    <row r="717" spans="2:8" x14ac:dyDescent="0.25">
      <c r="B717" s="169" t="s">
        <v>476</v>
      </c>
      <c r="C717" s="170"/>
      <c r="D717" s="170"/>
      <c r="E717" s="170"/>
      <c r="F717" s="170"/>
      <c r="G717" s="170"/>
      <c r="H717" s="158"/>
    </row>
    <row r="718" spans="2:8" x14ac:dyDescent="0.25">
      <c r="B718" s="169" t="s">
        <v>475</v>
      </c>
      <c r="C718" s="170"/>
      <c r="D718" s="170"/>
      <c r="E718" s="170"/>
      <c r="F718" s="170"/>
      <c r="G718" s="170"/>
      <c r="H718" s="158"/>
    </row>
    <row r="719" spans="2:8" x14ac:dyDescent="0.25">
      <c r="B719" s="169" t="s">
        <v>477</v>
      </c>
      <c r="C719" s="170"/>
      <c r="D719" s="170"/>
      <c r="E719" s="170"/>
      <c r="F719" s="170"/>
      <c r="G719" s="170"/>
      <c r="H719" s="158"/>
    </row>
    <row r="720" spans="2:8" x14ac:dyDescent="0.25">
      <c r="B720" s="169" t="s">
        <v>451</v>
      </c>
      <c r="C720" s="170"/>
      <c r="D720" s="170"/>
      <c r="E720" s="170"/>
      <c r="F720" s="170"/>
      <c r="G720" s="170"/>
      <c r="H720" s="158"/>
    </row>
    <row r="721" spans="2:8" x14ac:dyDescent="0.25">
      <c r="B721" s="169" t="s">
        <v>478</v>
      </c>
      <c r="C721" s="170"/>
      <c r="D721" s="170"/>
      <c r="E721" s="170"/>
      <c r="F721" s="170"/>
      <c r="G721" s="170"/>
      <c r="H721" s="158"/>
    </row>
    <row r="722" spans="2:8" x14ac:dyDescent="0.25">
      <c r="B722" s="169" t="s">
        <v>479</v>
      </c>
      <c r="C722" s="170"/>
      <c r="D722" s="170"/>
      <c r="E722" s="170"/>
      <c r="F722" s="170"/>
      <c r="G722" s="170"/>
      <c r="H722" s="158"/>
    </row>
    <row r="723" spans="2:8" x14ac:dyDescent="0.25">
      <c r="B723" s="169" t="s">
        <v>480</v>
      </c>
      <c r="C723" s="170"/>
      <c r="D723" s="170"/>
      <c r="E723" s="170"/>
      <c r="F723" s="170"/>
      <c r="G723" s="170"/>
      <c r="H723" s="158"/>
    </row>
    <row r="724" spans="2:8" x14ac:dyDescent="0.25">
      <c r="B724" s="169" t="s">
        <v>481</v>
      </c>
      <c r="C724" s="170"/>
      <c r="D724" s="170"/>
      <c r="E724" s="170"/>
      <c r="F724" s="170"/>
      <c r="G724" s="170"/>
      <c r="H724" s="158"/>
    </row>
    <row r="725" spans="2:8" x14ac:dyDescent="0.25">
      <c r="B725" s="169" t="s">
        <v>482</v>
      </c>
      <c r="C725" s="170"/>
      <c r="D725" s="170"/>
      <c r="E725" s="170"/>
      <c r="F725" s="170"/>
      <c r="G725" s="170"/>
      <c r="H725" s="158"/>
    </row>
    <row r="726" spans="2:8" x14ac:dyDescent="0.25">
      <c r="B726" s="169" t="s">
        <v>483</v>
      </c>
      <c r="C726" s="170"/>
      <c r="D726" s="170"/>
      <c r="E726" s="170"/>
      <c r="F726" s="170"/>
      <c r="G726" s="170"/>
      <c r="H726" s="158"/>
    </row>
    <row r="727" spans="2:8" x14ac:dyDescent="0.25">
      <c r="B727" s="169" t="s">
        <v>484</v>
      </c>
      <c r="C727" s="170"/>
      <c r="D727" s="170"/>
      <c r="E727" s="170"/>
      <c r="F727" s="170"/>
      <c r="G727" s="170"/>
      <c r="H727" s="158"/>
    </row>
    <row r="728" spans="2:8" x14ac:dyDescent="0.25">
      <c r="B728" s="169" t="s">
        <v>485</v>
      </c>
      <c r="C728" s="170"/>
      <c r="D728" s="170"/>
      <c r="E728" s="170"/>
      <c r="F728" s="170"/>
      <c r="G728" s="170"/>
      <c r="H728" s="158"/>
    </row>
    <row r="729" spans="2:8" x14ac:dyDescent="0.25">
      <c r="B729" s="169" t="s">
        <v>479</v>
      </c>
      <c r="C729" s="170"/>
      <c r="D729" s="170"/>
      <c r="E729" s="170"/>
      <c r="F729" s="170"/>
      <c r="G729" s="170"/>
      <c r="H729" s="158"/>
    </row>
    <row r="730" spans="2:8" x14ac:dyDescent="0.25">
      <c r="B730" s="169" t="s">
        <v>486</v>
      </c>
      <c r="C730" s="170"/>
      <c r="D730" s="170"/>
      <c r="E730" s="170"/>
      <c r="F730" s="170"/>
      <c r="G730" s="170"/>
      <c r="H730" s="158"/>
    </row>
    <row r="731" spans="2:8" x14ac:dyDescent="0.25">
      <c r="B731" s="169" t="s">
        <v>487</v>
      </c>
      <c r="C731" s="170"/>
      <c r="D731" s="170"/>
      <c r="E731" s="170"/>
      <c r="F731" s="170"/>
      <c r="G731" s="170"/>
      <c r="H731" s="158"/>
    </row>
    <row r="732" spans="2:8" x14ac:dyDescent="0.25">
      <c r="B732" s="169" t="s">
        <v>488</v>
      </c>
      <c r="C732" s="170"/>
      <c r="D732" s="170"/>
      <c r="E732" s="170"/>
      <c r="F732" s="170"/>
      <c r="G732" s="170"/>
      <c r="H732" s="158"/>
    </row>
    <row r="733" spans="2:8" x14ac:dyDescent="0.25">
      <c r="B733" s="169" t="s">
        <v>489</v>
      </c>
      <c r="C733" s="170"/>
      <c r="D733" s="170"/>
      <c r="E733" s="170"/>
      <c r="F733" s="170"/>
      <c r="G733" s="170"/>
      <c r="H733" s="158"/>
    </row>
    <row r="734" spans="2:8" x14ac:dyDescent="0.25">
      <c r="B734" s="169" t="s">
        <v>490</v>
      </c>
      <c r="C734" s="170"/>
      <c r="D734" s="170"/>
      <c r="E734" s="170"/>
      <c r="F734" s="170"/>
      <c r="G734" s="170"/>
      <c r="H734" s="158"/>
    </row>
    <row r="735" spans="2:8" x14ac:dyDescent="0.25">
      <c r="B735" s="171" t="s">
        <v>491</v>
      </c>
      <c r="C735" s="172"/>
      <c r="D735" s="172"/>
      <c r="E735" s="172"/>
      <c r="F735" s="172"/>
      <c r="G735" s="172"/>
      <c r="H735" s="158"/>
    </row>
    <row r="736" spans="2:8" x14ac:dyDescent="0.25">
      <c r="B736" s="5"/>
      <c r="C736" s="12"/>
      <c r="D736" s="12"/>
      <c r="E736" s="12"/>
      <c r="F736" s="12"/>
      <c r="G736" s="13"/>
    </row>
    <row r="737" spans="2:8" x14ac:dyDescent="0.25">
      <c r="B737" s="22" t="s">
        <v>492</v>
      </c>
      <c r="C737" s="4"/>
      <c r="D737" s="4"/>
      <c r="E737" s="4"/>
      <c r="F737" s="4"/>
      <c r="G737" s="16"/>
    </row>
    <row r="738" spans="2:8" x14ac:dyDescent="0.25">
      <c r="B738" s="168" t="s">
        <v>493</v>
      </c>
      <c r="C738" s="168"/>
      <c r="D738" s="168"/>
      <c r="E738" s="168"/>
      <c r="F738" s="168"/>
      <c r="G738" s="168"/>
      <c r="H738" s="158">
        <f>H740+H741+H742+H743</f>
        <v>5000</v>
      </c>
    </row>
    <row r="739" spans="2:8" x14ac:dyDescent="0.25">
      <c r="B739" s="169" t="s">
        <v>451</v>
      </c>
      <c r="C739" s="170"/>
      <c r="D739" s="170"/>
      <c r="E739" s="170"/>
      <c r="F739" s="170"/>
      <c r="G739" s="170"/>
      <c r="H739" s="158">
        <v>0</v>
      </c>
    </row>
    <row r="740" spans="2:8" x14ac:dyDescent="0.25">
      <c r="B740" s="169" t="s">
        <v>452</v>
      </c>
      <c r="C740" s="170"/>
      <c r="D740" s="170"/>
      <c r="E740" s="170"/>
      <c r="F740" s="170"/>
      <c r="G740" s="170"/>
      <c r="H740" s="158">
        <v>0</v>
      </c>
    </row>
    <row r="741" spans="2:8" x14ac:dyDescent="0.25">
      <c r="B741" s="173" t="s">
        <v>494</v>
      </c>
      <c r="C741" s="174"/>
      <c r="D741" s="174"/>
      <c r="E741" s="174"/>
      <c r="F741" s="174"/>
      <c r="G741" s="174"/>
      <c r="H741" s="158">
        <v>0</v>
      </c>
    </row>
    <row r="742" spans="2:8" x14ac:dyDescent="0.25">
      <c r="B742" s="169" t="s">
        <v>495</v>
      </c>
      <c r="C742" s="169"/>
      <c r="D742" s="169"/>
      <c r="E742" s="169"/>
      <c r="F742" s="169"/>
      <c r="G742" s="169"/>
      <c r="H742" s="158">
        <v>0</v>
      </c>
    </row>
    <row r="743" spans="2:8" x14ac:dyDescent="0.25">
      <c r="B743" s="169" t="s">
        <v>496</v>
      </c>
      <c r="C743" s="170"/>
      <c r="D743" s="170"/>
      <c r="E743" s="170"/>
      <c r="F743" s="170"/>
      <c r="G743" s="170"/>
      <c r="H743" s="158">
        <f>D623</f>
        <v>5000</v>
      </c>
    </row>
    <row r="744" spans="2:8" x14ac:dyDescent="0.25">
      <c r="B744" s="169" t="s">
        <v>497</v>
      </c>
      <c r="C744" s="170"/>
      <c r="D744" s="170"/>
      <c r="E744" s="170"/>
      <c r="F744" s="170"/>
      <c r="G744" s="170"/>
      <c r="H744" s="158">
        <f>H745+H746+H747+H748+H750+H751+H753+H754</f>
        <v>3600</v>
      </c>
    </row>
    <row r="745" spans="2:8" x14ac:dyDescent="0.25">
      <c r="B745" s="169" t="s">
        <v>498</v>
      </c>
      <c r="C745" s="170"/>
      <c r="D745" s="170"/>
      <c r="E745" s="170"/>
      <c r="F745" s="170"/>
      <c r="G745" s="170"/>
      <c r="H745" s="158">
        <v>0</v>
      </c>
    </row>
    <row r="746" spans="2:8" x14ac:dyDescent="0.25">
      <c r="B746" s="169" t="s">
        <v>499</v>
      </c>
      <c r="C746" s="170"/>
      <c r="D746" s="170"/>
      <c r="E746" s="170"/>
      <c r="F746" s="170"/>
      <c r="G746" s="170"/>
      <c r="H746" s="158">
        <f>C651</f>
        <v>500</v>
      </c>
    </row>
    <row r="747" spans="2:8" x14ac:dyDescent="0.25">
      <c r="B747" s="169" t="s">
        <v>500</v>
      </c>
      <c r="C747" s="170"/>
      <c r="D747" s="170"/>
      <c r="E747" s="170"/>
      <c r="F747" s="170"/>
      <c r="G747" s="170"/>
      <c r="H747" s="158">
        <f>H637</f>
        <v>100</v>
      </c>
    </row>
    <row r="748" spans="2:8" x14ac:dyDescent="0.25">
      <c r="B748" s="169" t="s">
        <v>501</v>
      </c>
      <c r="C748" s="170"/>
      <c r="D748" s="170"/>
      <c r="E748" s="170"/>
      <c r="F748" s="170"/>
      <c r="G748" s="170"/>
      <c r="H748" s="158">
        <v>0</v>
      </c>
    </row>
    <row r="749" spans="2:8" x14ac:dyDescent="0.25">
      <c r="B749" s="169" t="s">
        <v>502</v>
      </c>
      <c r="C749" s="170"/>
      <c r="D749" s="170"/>
      <c r="E749" s="170"/>
      <c r="F749" s="170"/>
      <c r="G749" s="170"/>
      <c r="H749" s="158">
        <v>0</v>
      </c>
    </row>
    <row r="750" spans="2:8" x14ac:dyDescent="0.25">
      <c r="B750" s="169" t="s">
        <v>503</v>
      </c>
      <c r="C750" s="170"/>
      <c r="D750" s="170"/>
      <c r="E750" s="170"/>
      <c r="F750" s="170"/>
      <c r="G750" s="170"/>
      <c r="H750" s="158">
        <v>0</v>
      </c>
    </row>
    <row r="751" spans="2:8" x14ac:dyDescent="0.25">
      <c r="B751" s="169" t="s">
        <v>504</v>
      </c>
      <c r="C751" s="170"/>
      <c r="D751" s="170"/>
      <c r="E751" s="170"/>
      <c r="F751" s="170"/>
      <c r="G751" s="170"/>
      <c r="H751" s="158">
        <v>0</v>
      </c>
    </row>
    <row r="752" spans="2:8" x14ac:dyDescent="0.25">
      <c r="B752" s="169" t="s">
        <v>505</v>
      </c>
      <c r="C752" s="170"/>
      <c r="D752" s="170"/>
      <c r="E752" s="170"/>
      <c r="F752" s="170"/>
      <c r="G752" s="170"/>
      <c r="H752" s="158">
        <v>0</v>
      </c>
    </row>
    <row r="753" spans="2:8" x14ac:dyDescent="0.25">
      <c r="B753" s="169" t="s">
        <v>506</v>
      </c>
      <c r="C753" s="170"/>
      <c r="D753" s="170"/>
      <c r="E753" s="170"/>
      <c r="F753" s="170"/>
      <c r="G753" s="170"/>
      <c r="H753" s="158">
        <v>0</v>
      </c>
    </row>
    <row r="754" spans="2:8" x14ac:dyDescent="0.25">
      <c r="B754" s="169" t="s">
        <v>507</v>
      </c>
      <c r="C754" s="170"/>
      <c r="D754" s="170"/>
      <c r="E754" s="170"/>
      <c r="F754" s="170"/>
      <c r="G754" s="170"/>
      <c r="H754" s="158">
        <f>C637</f>
        <v>3000</v>
      </c>
    </row>
    <row r="755" spans="2:8" x14ac:dyDescent="0.25">
      <c r="B755" s="169" t="s">
        <v>508</v>
      </c>
      <c r="C755" s="170"/>
      <c r="D755" s="170"/>
      <c r="E755" s="170"/>
      <c r="F755" s="170"/>
      <c r="G755" s="170"/>
      <c r="H755" s="160">
        <f>H738-H744</f>
        <v>1400</v>
      </c>
    </row>
    <row r="756" spans="2:8" x14ac:dyDescent="0.25">
      <c r="B756" s="169" t="s">
        <v>509</v>
      </c>
      <c r="C756" s="170"/>
      <c r="D756" s="170"/>
      <c r="E756" s="170"/>
      <c r="F756" s="170"/>
      <c r="G756" s="170"/>
      <c r="H756" s="158">
        <f>H757+H758+H759+H760</f>
        <v>14000</v>
      </c>
    </row>
    <row r="757" spans="2:8" x14ac:dyDescent="0.25">
      <c r="B757" s="169" t="s">
        <v>463</v>
      </c>
      <c r="C757" s="170"/>
      <c r="D757" s="170"/>
      <c r="E757" s="170"/>
      <c r="F757" s="170"/>
      <c r="G757" s="170"/>
      <c r="H757" s="162">
        <f>I651-H658</f>
        <v>2000</v>
      </c>
    </row>
    <row r="758" spans="2:8" x14ac:dyDescent="0.25">
      <c r="B758" s="169" t="s">
        <v>464</v>
      </c>
      <c r="C758" s="170"/>
      <c r="D758" s="170"/>
      <c r="E758" s="170"/>
      <c r="F758" s="170"/>
      <c r="G758" s="170"/>
      <c r="H758" s="158">
        <v>0</v>
      </c>
    </row>
    <row r="759" spans="2:8" x14ac:dyDescent="0.25">
      <c r="B759" s="169" t="s">
        <v>465</v>
      </c>
      <c r="C759" s="170"/>
      <c r="D759" s="170"/>
      <c r="E759" s="170"/>
      <c r="F759" s="170"/>
      <c r="G759" s="170"/>
      <c r="H759" s="158">
        <v>0</v>
      </c>
    </row>
    <row r="760" spans="2:8" x14ac:dyDescent="0.25">
      <c r="B760" s="169" t="s">
        <v>466</v>
      </c>
      <c r="C760" s="170"/>
      <c r="D760" s="170"/>
      <c r="E760" s="170"/>
      <c r="F760" s="170"/>
      <c r="G760" s="170"/>
      <c r="H760" s="158">
        <f>D672</f>
        <v>12000</v>
      </c>
    </row>
    <row r="761" spans="2:8" x14ac:dyDescent="0.25">
      <c r="B761" s="169" t="s">
        <v>510</v>
      </c>
      <c r="C761" s="170"/>
      <c r="D761" s="170"/>
      <c r="E761" s="170"/>
      <c r="F761" s="170"/>
      <c r="G761" s="170"/>
      <c r="H761" s="158">
        <f>H762+H763+H764</f>
        <v>10000</v>
      </c>
    </row>
    <row r="762" spans="2:8" x14ac:dyDescent="0.25">
      <c r="B762" s="169" t="s">
        <v>468</v>
      </c>
      <c r="C762" s="170"/>
      <c r="D762" s="170"/>
      <c r="E762" s="170"/>
      <c r="F762" s="170"/>
      <c r="G762" s="170"/>
      <c r="H762" s="158">
        <v>0</v>
      </c>
    </row>
    <row r="763" spans="2:8" x14ac:dyDescent="0.25">
      <c r="B763" s="169" t="s">
        <v>469</v>
      </c>
      <c r="C763" s="170"/>
      <c r="D763" s="170"/>
      <c r="E763" s="170"/>
      <c r="F763" s="170"/>
      <c r="G763" s="170"/>
      <c r="H763" s="158">
        <v>0</v>
      </c>
    </row>
    <row r="764" spans="2:8" x14ac:dyDescent="0.25">
      <c r="B764" s="169" t="s">
        <v>470</v>
      </c>
      <c r="C764" s="170"/>
      <c r="D764" s="170"/>
      <c r="E764" s="170"/>
      <c r="F764" s="170"/>
      <c r="G764" s="170"/>
      <c r="H764" s="158">
        <f>H665</f>
        <v>10000</v>
      </c>
    </row>
    <row r="765" spans="2:8" x14ac:dyDescent="0.25">
      <c r="B765" s="169" t="s">
        <v>511</v>
      </c>
      <c r="C765" s="170"/>
      <c r="D765" s="170"/>
      <c r="E765" s="170"/>
      <c r="F765" s="170"/>
      <c r="G765" s="170"/>
      <c r="H765" s="160">
        <f>H755+H756-H761</f>
        <v>5400</v>
      </c>
    </row>
    <row r="766" spans="2:8" x14ac:dyDescent="0.25">
      <c r="B766" s="169" t="s">
        <v>512</v>
      </c>
      <c r="C766" s="170"/>
      <c r="D766" s="170"/>
      <c r="E766" s="170"/>
      <c r="F766" s="170"/>
      <c r="G766" s="170"/>
      <c r="H766" s="158">
        <f>H767+H772+H774+H776+H777</f>
        <v>26500</v>
      </c>
    </row>
    <row r="767" spans="2:8" x14ac:dyDescent="0.25">
      <c r="B767" s="169" t="s">
        <v>473</v>
      </c>
      <c r="C767" s="170"/>
      <c r="D767" s="170"/>
      <c r="E767" s="170"/>
      <c r="F767" s="170"/>
      <c r="G767" s="170"/>
      <c r="H767" s="158">
        <f>H768</f>
        <v>25000</v>
      </c>
    </row>
    <row r="768" spans="2:8" x14ac:dyDescent="0.25">
      <c r="B768" s="169" t="s">
        <v>474</v>
      </c>
      <c r="C768" s="170"/>
      <c r="D768" s="170"/>
      <c r="E768" s="170"/>
      <c r="F768" s="170"/>
      <c r="G768" s="170"/>
      <c r="H768" s="158">
        <f>H769</f>
        <v>25000</v>
      </c>
    </row>
    <row r="769" spans="2:8" x14ac:dyDescent="0.25">
      <c r="B769" s="169" t="s">
        <v>475</v>
      </c>
      <c r="C769" s="170"/>
      <c r="D769" s="170"/>
      <c r="E769" s="170"/>
      <c r="F769" s="170"/>
      <c r="G769" s="170"/>
      <c r="H769" s="158">
        <f>D666</f>
        <v>25000</v>
      </c>
    </row>
    <row r="770" spans="2:8" x14ac:dyDescent="0.25">
      <c r="B770" s="169" t="s">
        <v>476</v>
      </c>
      <c r="C770" s="170"/>
      <c r="D770" s="170"/>
      <c r="E770" s="170"/>
      <c r="F770" s="170"/>
      <c r="G770" s="170"/>
      <c r="H770" s="158">
        <v>0</v>
      </c>
    </row>
    <row r="771" spans="2:8" x14ac:dyDescent="0.25">
      <c r="B771" s="169" t="s">
        <v>475</v>
      </c>
      <c r="C771" s="170"/>
      <c r="D771" s="170"/>
      <c r="E771" s="170"/>
      <c r="F771" s="170"/>
      <c r="G771" s="170"/>
      <c r="H771" s="158">
        <v>0</v>
      </c>
    </row>
    <row r="772" spans="2:8" x14ac:dyDescent="0.25">
      <c r="B772" s="169" t="s">
        <v>477</v>
      </c>
      <c r="C772" s="170"/>
      <c r="D772" s="170"/>
      <c r="E772" s="170"/>
      <c r="F772" s="170"/>
      <c r="G772" s="170"/>
      <c r="H772" s="158">
        <f>D665</f>
        <v>1500</v>
      </c>
    </row>
    <row r="773" spans="2:8" x14ac:dyDescent="0.25">
      <c r="B773" s="169" t="s">
        <v>451</v>
      </c>
      <c r="C773" s="170"/>
      <c r="D773" s="170"/>
      <c r="E773" s="170"/>
      <c r="F773" s="170"/>
      <c r="G773" s="170"/>
      <c r="H773" s="158">
        <v>0</v>
      </c>
    </row>
    <row r="774" spans="2:8" x14ac:dyDescent="0.25">
      <c r="B774" s="169" t="s">
        <v>478</v>
      </c>
      <c r="C774" s="170"/>
      <c r="D774" s="170"/>
      <c r="E774" s="170"/>
      <c r="F774" s="170"/>
      <c r="G774" s="170"/>
      <c r="H774" s="158">
        <v>0</v>
      </c>
    </row>
    <row r="775" spans="2:8" x14ac:dyDescent="0.25">
      <c r="B775" s="169" t="s">
        <v>479</v>
      </c>
      <c r="C775" s="170"/>
      <c r="D775" s="170"/>
      <c r="E775" s="170"/>
      <c r="F775" s="170"/>
      <c r="G775" s="170"/>
      <c r="H775" s="158">
        <v>0</v>
      </c>
    </row>
    <row r="776" spans="2:8" x14ac:dyDescent="0.25">
      <c r="B776" s="169" t="s">
        <v>480</v>
      </c>
      <c r="C776" s="170"/>
      <c r="D776" s="170"/>
      <c r="E776" s="170"/>
      <c r="F776" s="170"/>
      <c r="G776" s="170"/>
      <c r="H776" s="158">
        <v>0</v>
      </c>
    </row>
    <row r="777" spans="2:8" x14ac:dyDescent="0.25">
      <c r="B777" s="169" t="s">
        <v>481</v>
      </c>
      <c r="C777" s="170"/>
      <c r="D777" s="170"/>
      <c r="E777" s="170"/>
      <c r="F777" s="170"/>
      <c r="G777" s="170"/>
      <c r="H777" s="158">
        <v>0</v>
      </c>
    </row>
    <row r="778" spans="2:8" x14ac:dyDescent="0.25">
      <c r="B778" s="169" t="s">
        <v>513</v>
      </c>
      <c r="C778" s="170"/>
      <c r="D778" s="170"/>
      <c r="E778" s="170"/>
      <c r="F778" s="170"/>
      <c r="G778" s="170"/>
      <c r="H778" s="158">
        <f>H779+H781+H783+H784</f>
        <v>0</v>
      </c>
    </row>
    <row r="779" spans="2:8" x14ac:dyDescent="0.25">
      <c r="B779" s="169" t="s">
        <v>483</v>
      </c>
      <c r="C779" s="170"/>
      <c r="D779" s="170"/>
      <c r="E779" s="170"/>
      <c r="F779" s="170"/>
      <c r="G779" s="170"/>
      <c r="H779" s="158">
        <v>0</v>
      </c>
    </row>
    <row r="780" spans="2:8" x14ac:dyDescent="0.25">
      <c r="B780" s="169" t="s">
        <v>484</v>
      </c>
      <c r="C780" s="170"/>
      <c r="D780" s="170"/>
      <c r="E780" s="170"/>
      <c r="F780" s="170"/>
      <c r="G780" s="170"/>
      <c r="H780" s="158">
        <v>0</v>
      </c>
    </row>
    <row r="781" spans="2:8" x14ac:dyDescent="0.25">
      <c r="B781" s="169" t="s">
        <v>485</v>
      </c>
      <c r="C781" s="170"/>
      <c r="D781" s="170"/>
      <c r="E781" s="170"/>
      <c r="F781" s="170"/>
      <c r="G781" s="170"/>
      <c r="H781" s="158">
        <v>0</v>
      </c>
    </row>
    <row r="782" spans="2:8" x14ac:dyDescent="0.25">
      <c r="B782" s="169" t="s">
        <v>479</v>
      </c>
      <c r="C782" s="170"/>
      <c r="D782" s="170"/>
      <c r="E782" s="170"/>
      <c r="F782" s="170"/>
      <c r="G782" s="170"/>
      <c r="H782" s="158">
        <v>0</v>
      </c>
    </row>
    <row r="783" spans="2:8" x14ac:dyDescent="0.25">
      <c r="B783" s="169" t="s">
        <v>486</v>
      </c>
      <c r="C783" s="170"/>
      <c r="D783" s="170"/>
      <c r="E783" s="170"/>
      <c r="F783" s="170"/>
      <c r="G783" s="170"/>
      <c r="H783" s="158">
        <v>0</v>
      </c>
    </row>
    <row r="784" spans="2:8" x14ac:dyDescent="0.25">
      <c r="B784" s="169" t="s">
        <v>487</v>
      </c>
      <c r="C784" s="170"/>
      <c r="D784" s="170"/>
      <c r="E784" s="170"/>
      <c r="F784" s="170"/>
      <c r="G784" s="170"/>
      <c r="H784" s="158">
        <v>0</v>
      </c>
    </row>
    <row r="785" spans="2:9" x14ac:dyDescent="0.25">
      <c r="B785" s="169" t="s">
        <v>514</v>
      </c>
      <c r="C785" s="170"/>
      <c r="D785" s="170"/>
      <c r="E785" s="170"/>
      <c r="F785" s="170"/>
      <c r="G785" s="170"/>
      <c r="H785" s="161">
        <f>H765+H766-H778</f>
        <v>31900</v>
      </c>
    </row>
    <row r="786" spans="2:9" x14ac:dyDescent="0.25">
      <c r="B786" s="169" t="s">
        <v>515</v>
      </c>
      <c r="C786" s="170"/>
      <c r="D786" s="170"/>
      <c r="E786" s="170"/>
      <c r="F786" s="170"/>
      <c r="G786" s="170"/>
      <c r="H786" s="158"/>
    </row>
    <row r="787" spans="2:9" x14ac:dyDescent="0.25">
      <c r="B787" s="169" t="s">
        <v>516</v>
      </c>
      <c r="C787" s="170"/>
      <c r="D787" s="170"/>
      <c r="E787" s="170"/>
      <c r="F787" s="170"/>
      <c r="G787" s="170"/>
      <c r="H787" s="158"/>
    </row>
    <row r="788" spans="2:9" x14ac:dyDescent="0.25">
      <c r="B788" s="169" t="s">
        <v>517</v>
      </c>
      <c r="C788" s="170"/>
      <c r="D788" s="170"/>
      <c r="E788" s="170"/>
      <c r="F788" s="170"/>
      <c r="G788" s="170"/>
      <c r="H788" s="158"/>
    </row>
    <row r="790" spans="2:9" x14ac:dyDescent="0.25">
      <c r="B790" s="27" t="s">
        <v>518</v>
      </c>
    </row>
    <row r="792" spans="2:9" x14ac:dyDescent="0.25">
      <c r="B792" s="1" t="s">
        <v>529</v>
      </c>
      <c r="I792" s="1" t="s">
        <v>540</v>
      </c>
    </row>
    <row r="793" spans="2:9" x14ac:dyDescent="0.25">
      <c r="B793" s="26" t="s">
        <v>560</v>
      </c>
    </row>
    <row r="794" spans="2:9" x14ac:dyDescent="0.25">
      <c r="B794" s="164" t="s">
        <v>541</v>
      </c>
    </row>
    <row r="795" spans="2:9" x14ac:dyDescent="0.25">
      <c r="B795" s="26" t="s">
        <v>559</v>
      </c>
    </row>
    <row r="796" spans="2:9" x14ac:dyDescent="0.25">
      <c r="B796" s="26" t="s">
        <v>542</v>
      </c>
    </row>
    <row r="797" spans="2:9" x14ac:dyDescent="0.25">
      <c r="B797" s="164" t="s">
        <v>543</v>
      </c>
    </row>
    <row r="798" spans="2:9" x14ac:dyDescent="0.25">
      <c r="B798" s="164" t="s">
        <v>544</v>
      </c>
    </row>
    <row r="799" spans="2:9" x14ac:dyDescent="0.25">
      <c r="B799" s="26" t="s">
        <v>545</v>
      </c>
    </row>
    <row r="800" spans="2:9" x14ac:dyDescent="0.25">
      <c r="B800" s="26" t="s">
        <v>561</v>
      </c>
    </row>
    <row r="801" spans="2:2" x14ac:dyDescent="0.25">
      <c r="B801" s="138" t="s">
        <v>524</v>
      </c>
    </row>
    <row r="802" spans="2:2" x14ac:dyDescent="0.25">
      <c r="B802" s="138" t="s">
        <v>539</v>
      </c>
    </row>
    <row r="803" spans="2:2" x14ac:dyDescent="0.25">
      <c r="B803" s="163" t="s">
        <v>546</v>
      </c>
    </row>
    <row r="804" spans="2:2" x14ac:dyDescent="0.25">
      <c r="B804" s="163" t="s">
        <v>547</v>
      </c>
    </row>
    <row r="805" spans="2:2" x14ac:dyDescent="0.25">
      <c r="B805" s="163" t="s">
        <v>536</v>
      </c>
    </row>
    <row r="806" spans="2:2" x14ac:dyDescent="0.25">
      <c r="B806" s="163" t="s">
        <v>537</v>
      </c>
    </row>
    <row r="807" spans="2:2" x14ac:dyDescent="0.25">
      <c r="B807" s="163" t="s">
        <v>558</v>
      </c>
    </row>
    <row r="808" spans="2:2" x14ac:dyDescent="0.25">
      <c r="B808" s="26" t="s">
        <v>565</v>
      </c>
    </row>
    <row r="809" spans="2:2" x14ac:dyDescent="0.25">
      <c r="B809" s="26" t="s">
        <v>548</v>
      </c>
    </row>
    <row r="810" spans="2:2" x14ac:dyDescent="0.25">
      <c r="B810" s="26" t="s">
        <v>549</v>
      </c>
    </row>
    <row r="811" spans="2:2" x14ac:dyDescent="0.25">
      <c r="B811" s="26" t="s">
        <v>553</v>
      </c>
    </row>
    <row r="812" spans="2:2" x14ac:dyDescent="0.25">
      <c r="B812" s="26" t="s">
        <v>554</v>
      </c>
    </row>
    <row r="813" spans="2:2" x14ac:dyDescent="0.25">
      <c r="B813" s="26" t="s">
        <v>550</v>
      </c>
    </row>
    <row r="814" spans="2:2" x14ac:dyDescent="0.25">
      <c r="B814" s="26" t="s">
        <v>555</v>
      </c>
    </row>
    <row r="815" spans="2:2" x14ac:dyDescent="0.25">
      <c r="B815" s="26" t="s">
        <v>551</v>
      </c>
    </row>
    <row r="816" spans="2:2" x14ac:dyDescent="0.25">
      <c r="B816" s="26" t="s">
        <v>552</v>
      </c>
    </row>
    <row r="817" spans="2:2" x14ac:dyDescent="0.25">
      <c r="B817" s="26" t="s">
        <v>556</v>
      </c>
    </row>
    <row r="818" spans="2:2" x14ac:dyDescent="0.25">
      <c r="B818" s="26" t="s">
        <v>557</v>
      </c>
    </row>
    <row r="819" spans="2:2" x14ac:dyDescent="0.25">
      <c r="B819" s="26" t="s">
        <v>562</v>
      </c>
    </row>
    <row r="820" spans="2:2" x14ac:dyDescent="0.25">
      <c r="B820" s="26" t="s">
        <v>563</v>
      </c>
    </row>
    <row r="821" spans="2:2" x14ac:dyDescent="0.25">
      <c r="B821" s="26" t="s">
        <v>564</v>
      </c>
    </row>
  </sheetData>
  <mergeCells count="108">
    <mergeCell ref="B691:G691"/>
    <mergeCell ref="B692:G692"/>
    <mergeCell ref="B693:G693"/>
    <mergeCell ref="B694:G694"/>
    <mergeCell ref="B695:G695"/>
    <mergeCell ref="C26:K26"/>
    <mergeCell ref="C27:G27"/>
    <mergeCell ref="H27:K27"/>
    <mergeCell ref="B81:J81"/>
    <mergeCell ref="B82:F82"/>
    <mergeCell ref="G82:J82"/>
    <mergeCell ref="B224:J224"/>
    <mergeCell ref="B225:F225"/>
    <mergeCell ref="G225:J225"/>
    <mergeCell ref="B106:J106"/>
    <mergeCell ref="B107:F107"/>
    <mergeCell ref="G107:J107"/>
    <mergeCell ref="B701:G701"/>
    <mergeCell ref="B702:G702"/>
    <mergeCell ref="B703:G703"/>
    <mergeCell ref="B704:G704"/>
    <mergeCell ref="B705:G705"/>
    <mergeCell ref="B696:G696"/>
    <mergeCell ref="B697:G697"/>
    <mergeCell ref="B698:G698"/>
    <mergeCell ref="B699:G699"/>
    <mergeCell ref="B700:G700"/>
    <mergeCell ref="B711:G711"/>
    <mergeCell ref="B712:G712"/>
    <mergeCell ref="B713:G713"/>
    <mergeCell ref="B714:G714"/>
    <mergeCell ref="B715:G715"/>
    <mergeCell ref="B706:G706"/>
    <mergeCell ref="B707:G707"/>
    <mergeCell ref="B708:G708"/>
    <mergeCell ref="B709:G709"/>
    <mergeCell ref="B710:G710"/>
    <mergeCell ref="B721:G721"/>
    <mergeCell ref="B722:G722"/>
    <mergeCell ref="B723:G723"/>
    <mergeCell ref="B724:G724"/>
    <mergeCell ref="B725:G725"/>
    <mergeCell ref="B716:G716"/>
    <mergeCell ref="B717:G717"/>
    <mergeCell ref="B718:G718"/>
    <mergeCell ref="B719:G719"/>
    <mergeCell ref="B720:G720"/>
    <mergeCell ref="B731:G731"/>
    <mergeCell ref="B732:G732"/>
    <mergeCell ref="B733:G733"/>
    <mergeCell ref="B734:G734"/>
    <mergeCell ref="B735:G735"/>
    <mergeCell ref="B726:G726"/>
    <mergeCell ref="B727:G727"/>
    <mergeCell ref="B728:G728"/>
    <mergeCell ref="B729:G729"/>
    <mergeCell ref="B730:G730"/>
    <mergeCell ref="B743:G743"/>
    <mergeCell ref="B744:G744"/>
    <mergeCell ref="B745:G745"/>
    <mergeCell ref="B746:G746"/>
    <mergeCell ref="B747:G747"/>
    <mergeCell ref="B738:G738"/>
    <mergeCell ref="B739:G739"/>
    <mergeCell ref="B740:G740"/>
    <mergeCell ref="B741:G741"/>
    <mergeCell ref="B742:G742"/>
    <mergeCell ref="B753:G753"/>
    <mergeCell ref="B754:G754"/>
    <mergeCell ref="B755:G755"/>
    <mergeCell ref="B756:G756"/>
    <mergeCell ref="B757:G757"/>
    <mergeCell ref="B748:G748"/>
    <mergeCell ref="B749:G749"/>
    <mergeCell ref="B750:G750"/>
    <mergeCell ref="B751:G751"/>
    <mergeCell ref="B752:G752"/>
    <mergeCell ref="B763:G763"/>
    <mergeCell ref="B764:G764"/>
    <mergeCell ref="B765:G765"/>
    <mergeCell ref="B766:G766"/>
    <mergeCell ref="B767:G767"/>
    <mergeCell ref="B758:G758"/>
    <mergeCell ref="B759:G759"/>
    <mergeCell ref="B760:G760"/>
    <mergeCell ref="B761:G761"/>
    <mergeCell ref="B762:G762"/>
    <mergeCell ref="B773:G773"/>
    <mergeCell ref="B774:G774"/>
    <mergeCell ref="B775:G775"/>
    <mergeCell ref="B776:G776"/>
    <mergeCell ref="B777:G777"/>
    <mergeCell ref="B768:G768"/>
    <mergeCell ref="B769:G769"/>
    <mergeCell ref="B770:G770"/>
    <mergeCell ref="B771:G771"/>
    <mergeCell ref="B772:G772"/>
    <mergeCell ref="B788:G788"/>
    <mergeCell ref="B783:G783"/>
    <mergeCell ref="B784:G784"/>
    <mergeCell ref="B785:G785"/>
    <mergeCell ref="B786:G786"/>
    <mergeCell ref="B787:G787"/>
    <mergeCell ref="B778:G778"/>
    <mergeCell ref="B779:G779"/>
    <mergeCell ref="B780:G780"/>
    <mergeCell ref="B781:G781"/>
    <mergeCell ref="B782:G782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2:M816"/>
  <sheetViews>
    <sheetView topLeftCell="A787" zoomScale="190" zoomScaleNormal="190" workbookViewId="0">
      <selection activeCell="C809" sqref="C809"/>
    </sheetView>
  </sheetViews>
  <sheetFormatPr defaultRowHeight="15" x14ac:dyDescent="0.25"/>
  <cols>
    <col min="1" max="1" width="3.28515625" style="26" customWidth="1"/>
    <col min="2" max="2" width="18.42578125" style="1" customWidth="1"/>
    <col min="3" max="3" width="12.140625" style="1" customWidth="1"/>
    <col min="4" max="4" width="11.85546875" style="26" customWidth="1"/>
    <col min="5" max="5" width="10.7109375" style="1" customWidth="1"/>
    <col min="6" max="6" width="3.28515625" style="26" customWidth="1"/>
    <col min="7" max="7" width="10.5703125" style="1" customWidth="1"/>
    <col min="8" max="8" width="12.28515625" style="1" customWidth="1"/>
    <col min="9" max="9" width="11.85546875" style="26" customWidth="1"/>
    <col min="10" max="10" width="3.7109375" style="26" bestFit="1" customWidth="1"/>
    <col min="11" max="11" width="11.7109375" style="1" bestFit="1" customWidth="1"/>
    <col min="12" max="12" width="9.140625" style="1"/>
    <col min="13" max="13" width="10.140625" style="1" bestFit="1" customWidth="1"/>
    <col min="14" max="16384" width="9.140625" style="1"/>
  </cols>
  <sheetData>
    <row r="2" spans="2:10" x14ac:dyDescent="0.25">
      <c r="B2" s="3" t="s">
        <v>0</v>
      </c>
      <c r="C2" s="2"/>
    </row>
    <row r="4" spans="2:10" x14ac:dyDescent="0.25">
      <c r="B4" s="4"/>
      <c r="C4" s="4" t="s">
        <v>36</v>
      </c>
      <c r="D4" s="28"/>
      <c r="E4" s="4"/>
      <c r="G4" s="4"/>
      <c r="H4" s="4" t="s">
        <v>4</v>
      </c>
      <c r="I4" s="28"/>
      <c r="J4" s="28"/>
    </row>
    <row r="5" spans="2:10" x14ac:dyDescent="0.25">
      <c r="B5" s="7"/>
      <c r="C5" s="7"/>
      <c r="D5" s="127">
        <f>10000*500</f>
        <v>5000000</v>
      </c>
      <c r="E5" s="7" t="s">
        <v>2</v>
      </c>
      <c r="I5" s="53">
        <f>10000*(600-500)</f>
        <v>1000000</v>
      </c>
      <c r="J5" s="26" t="str">
        <f>E5</f>
        <v>1)</v>
      </c>
    </row>
    <row r="6" spans="2:10" x14ac:dyDescent="0.25">
      <c r="C6" s="1">
        <f>C5</f>
        <v>0</v>
      </c>
      <c r="D6" s="42">
        <f>D5</f>
        <v>5000000</v>
      </c>
      <c r="I6" s="42" t="s">
        <v>73</v>
      </c>
    </row>
    <row r="7" spans="2:10" x14ac:dyDescent="0.25">
      <c r="B7" s="4" t="s">
        <v>10</v>
      </c>
      <c r="C7" s="4">
        <f>D6-C6</f>
        <v>5000000</v>
      </c>
      <c r="D7" s="43"/>
      <c r="E7" s="4"/>
      <c r="G7" s="4"/>
      <c r="H7" s="4"/>
      <c r="I7" s="43" t="s">
        <v>74</v>
      </c>
      <c r="J7" s="28"/>
    </row>
    <row r="8" spans="2:10" ht="17.25" x14ac:dyDescent="0.4">
      <c r="C8" s="10">
        <f>C6+C7</f>
        <v>5000000</v>
      </c>
      <c r="D8" s="128">
        <f>D6+D7</f>
        <v>5000000</v>
      </c>
      <c r="H8" s="1">
        <v>0</v>
      </c>
      <c r="I8" s="42">
        <f>I5</f>
        <v>1000000</v>
      </c>
    </row>
    <row r="9" spans="2:10" x14ac:dyDescent="0.25">
      <c r="D9" s="42"/>
      <c r="G9" s="1" t="s">
        <v>10</v>
      </c>
      <c r="H9" s="1">
        <f>I8-H8</f>
        <v>1000000</v>
      </c>
      <c r="I9" s="42"/>
    </row>
    <row r="10" spans="2:10" x14ac:dyDescent="0.25">
      <c r="G10" s="1" t="s">
        <v>38</v>
      </c>
    </row>
    <row r="11" spans="2:10" x14ac:dyDescent="0.25">
      <c r="B11" s="4"/>
      <c r="C11" s="4" t="s">
        <v>5</v>
      </c>
      <c r="D11" s="28"/>
      <c r="E11" s="4"/>
      <c r="G11" s="4"/>
      <c r="H11" s="4" t="s">
        <v>6</v>
      </c>
      <c r="I11" s="28"/>
      <c r="J11" s="28"/>
    </row>
    <row r="12" spans="2:10" x14ac:dyDescent="0.25">
      <c r="B12" s="7" t="str">
        <f>E5</f>
        <v>1)</v>
      </c>
      <c r="C12" s="7">
        <f>D5+I5</f>
        <v>6000000</v>
      </c>
      <c r="D12" s="127">
        <f>H12</f>
        <v>4500000</v>
      </c>
      <c r="E12" s="7" t="str">
        <f>G12</f>
        <v>2)</v>
      </c>
      <c r="G12" s="1" t="s">
        <v>7</v>
      </c>
      <c r="H12" s="1">
        <f>C12*0.75</f>
        <v>4500000</v>
      </c>
      <c r="I12" s="53"/>
    </row>
    <row r="13" spans="2:10" x14ac:dyDescent="0.25">
      <c r="C13" s="1">
        <f>C12</f>
        <v>6000000</v>
      </c>
      <c r="D13" s="42">
        <f>D12</f>
        <v>4500000</v>
      </c>
      <c r="G13" s="4" t="str">
        <f>E19</f>
        <v>3)</v>
      </c>
      <c r="H13" s="4">
        <f>D19</f>
        <v>10000</v>
      </c>
      <c r="I13" s="43"/>
      <c r="J13" s="28"/>
    </row>
    <row r="14" spans="2:10" x14ac:dyDescent="0.25">
      <c r="D14" s="42">
        <f>C13-D13</f>
        <v>1500000</v>
      </c>
      <c r="E14" s="1" t="s">
        <v>10</v>
      </c>
      <c r="H14" s="1">
        <f>H12+H13</f>
        <v>4510000</v>
      </c>
      <c r="I14" s="42">
        <v>0</v>
      </c>
    </row>
    <row r="15" spans="2:10" x14ac:dyDescent="0.25">
      <c r="D15" s="42"/>
      <c r="I15" s="42">
        <f>H14-I14</f>
        <v>4510000</v>
      </c>
      <c r="J15" s="26" t="s">
        <v>10</v>
      </c>
    </row>
    <row r="16" spans="2:10" x14ac:dyDescent="0.25">
      <c r="D16" s="42"/>
      <c r="I16" s="42"/>
    </row>
    <row r="18" spans="2:12" x14ac:dyDescent="0.25">
      <c r="B18" s="4"/>
      <c r="C18" s="4" t="s">
        <v>72</v>
      </c>
      <c r="D18" s="28"/>
      <c r="E18" s="4"/>
      <c r="G18" s="4"/>
      <c r="H18" s="4"/>
      <c r="I18" s="28"/>
      <c r="J18" s="28"/>
    </row>
    <row r="19" spans="2:12" x14ac:dyDescent="0.25">
      <c r="B19" s="7"/>
      <c r="C19" s="7"/>
      <c r="D19" s="127">
        <v>10000</v>
      </c>
      <c r="E19" s="7" t="s">
        <v>9</v>
      </c>
      <c r="I19" s="53"/>
    </row>
    <row r="20" spans="2:12" x14ac:dyDescent="0.25">
      <c r="C20" s="1">
        <v>0</v>
      </c>
      <c r="D20" s="42">
        <f>D19</f>
        <v>10000</v>
      </c>
      <c r="I20" s="42"/>
    </row>
    <row r="21" spans="2:12" x14ac:dyDescent="0.25">
      <c r="B21" s="1" t="s">
        <v>10</v>
      </c>
      <c r="C21" s="1">
        <f>D20-C20</f>
        <v>10000</v>
      </c>
      <c r="D21" s="42"/>
      <c r="I21" s="42"/>
    </row>
    <row r="22" spans="2:12" x14ac:dyDescent="0.25">
      <c r="D22" s="42"/>
      <c r="I22" s="42"/>
    </row>
    <row r="23" spans="2:12" x14ac:dyDescent="0.25">
      <c r="D23" s="42"/>
      <c r="I23" s="42"/>
    </row>
    <row r="25" spans="2:12" x14ac:dyDescent="0.25">
      <c r="B25" s="175" t="s">
        <v>12</v>
      </c>
      <c r="C25" s="176"/>
      <c r="D25" s="176"/>
      <c r="E25" s="176"/>
      <c r="F25" s="176"/>
      <c r="G25" s="176"/>
      <c r="H25" s="176"/>
      <c r="I25" s="177"/>
    </row>
    <row r="26" spans="2:12" x14ac:dyDescent="0.25">
      <c r="B26" s="175" t="s">
        <v>14</v>
      </c>
      <c r="C26" s="176"/>
      <c r="D26" s="176"/>
      <c r="E26" s="177"/>
      <c r="F26" s="175" t="s">
        <v>15</v>
      </c>
      <c r="G26" s="176"/>
      <c r="H26" s="176"/>
      <c r="I26" s="177"/>
    </row>
    <row r="27" spans="2:12" x14ac:dyDescent="0.25">
      <c r="B27" s="5" t="str">
        <f>H11</f>
        <v>Rachunek bankowy</v>
      </c>
      <c r="C27" s="12"/>
      <c r="D27" s="31">
        <f>I15</f>
        <v>4510000</v>
      </c>
      <c r="E27" s="12"/>
      <c r="F27" s="53" t="s">
        <v>16</v>
      </c>
      <c r="G27" s="12"/>
      <c r="H27" s="12"/>
      <c r="I27" s="123">
        <f>I28+I29</f>
        <v>6000000</v>
      </c>
      <c r="K27" s="1">
        <f>I27-D28</f>
        <v>4500000</v>
      </c>
      <c r="L27" s="1" t="s">
        <v>76</v>
      </c>
    </row>
    <row r="28" spans="2:12" x14ac:dyDescent="0.25">
      <c r="B28" s="6" t="str">
        <f>C11</f>
        <v>Należne wpłaty na kapitał własny</v>
      </c>
      <c r="C28" s="14"/>
      <c r="D28" s="30">
        <f>D14</f>
        <v>1500000</v>
      </c>
      <c r="E28" s="14"/>
      <c r="F28" s="42" t="str">
        <f>C4</f>
        <v>Kapitał podstawowy (akcyjny)</v>
      </c>
      <c r="G28" s="14"/>
      <c r="H28" s="14"/>
      <c r="I28" s="46">
        <f>C7</f>
        <v>5000000</v>
      </c>
      <c r="L28" s="1" t="s">
        <v>77</v>
      </c>
    </row>
    <row r="29" spans="2:12" x14ac:dyDescent="0.25">
      <c r="B29" s="6"/>
      <c r="C29" s="14"/>
      <c r="D29" s="30"/>
      <c r="E29" s="14"/>
      <c r="F29" s="42" t="str">
        <f>H4</f>
        <v>Kapitał zapasowy</v>
      </c>
      <c r="G29" s="14"/>
      <c r="H29" s="14"/>
      <c r="I29" s="46">
        <f>H9</f>
        <v>1000000</v>
      </c>
      <c r="K29" s="1" t="s">
        <v>78</v>
      </c>
    </row>
    <row r="30" spans="2:12" x14ac:dyDescent="0.25">
      <c r="B30" s="9"/>
      <c r="C30" s="4"/>
      <c r="D30" s="28"/>
      <c r="E30" s="4"/>
      <c r="F30" s="43" t="str">
        <f>C18</f>
        <v>Kredyty bankowe</v>
      </c>
      <c r="G30" s="4"/>
      <c r="H30" s="4"/>
      <c r="I30" s="47">
        <f>C21</f>
        <v>10000</v>
      </c>
    </row>
    <row r="31" spans="2:12" x14ac:dyDescent="0.25">
      <c r="B31" s="22" t="s">
        <v>75</v>
      </c>
      <c r="C31" s="23"/>
      <c r="D31" s="45">
        <f>D27+D28</f>
        <v>6010000</v>
      </c>
      <c r="E31" s="23"/>
      <c r="F31" s="44" t="s">
        <v>75</v>
      </c>
      <c r="G31" s="23"/>
      <c r="H31" s="23"/>
      <c r="I31" s="126">
        <f>I27+I30</f>
        <v>6010000</v>
      </c>
    </row>
    <row r="34" spans="2:10" x14ac:dyDescent="0.25">
      <c r="C34" s="1" t="s">
        <v>79</v>
      </c>
    </row>
    <row r="35" spans="2:10" x14ac:dyDescent="0.25">
      <c r="C35" s="1" t="s">
        <v>80</v>
      </c>
      <c r="H35" s="1">
        <v>700000</v>
      </c>
    </row>
    <row r="36" spans="2:10" x14ac:dyDescent="0.25">
      <c r="C36" s="2" t="s">
        <v>81</v>
      </c>
      <c r="D36" s="71"/>
      <c r="E36" s="2"/>
      <c r="F36" s="71"/>
      <c r="G36" s="2"/>
      <c r="H36" s="2">
        <v>1000000</v>
      </c>
    </row>
    <row r="37" spans="2:10" x14ac:dyDescent="0.25">
      <c r="C37" s="1" t="s">
        <v>83</v>
      </c>
    </row>
    <row r="38" spans="2:10" x14ac:dyDescent="0.25">
      <c r="C38" s="1" t="s">
        <v>82</v>
      </c>
      <c r="H38" s="1">
        <f>H36-H35</f>
        <v>300000</v>
      </c>
      <c r="I38" s="26" t="s">
        <v>84</v>
      </c>
    </row>
    <row r="39" spans="2:10" x14ac:dyDescent="0.25">
      <c r="H39" s="1">
        <f>H38*0.19</f>
        <v>57000</v>
      </c>
      <c r="I39" s="26" t="s">
        <v>85</v>
      </c>
    </row>
    <row r="40" spans="2:10" x14ac:dyDescent="0.25">
      <c r="C40" s="2" t="s">
        <v>86</v>
      </c>
      <c r="D40" s="71"/>
      <c r="E40" s="2"/>
      <c r="F40" s="71"/>
      <c r="G40" s="2"/>
      <c r="H40" s="2">
        <v>1200000</v>
      </c>
    </row>
    <row r="41" spans="2:10" x14ac:dyDescent="0.25">
      <c r="H41" s="1">
        <f>H40-H36</f>
        <v>200000</v>
      </c>
      <c r="I41" s="26" t="s">
        <v>87</v>
      </c>
    </row>
    <row r="42" spans="2:10" x14ac:dyDescent="0.25">
      <c r="H42" s="1">
        <f>H41*0.19</f>
        <v>38000</v>
      </c>
      <c r="I42" s="26" t="s">
        <v>85</v>
      </c>
    </row>
    <row r="43" spans="2:10" x14ac:dyDescent="0.25">
      <c r="H43" s="1">
        <f>H40-H35</f>
        <v>500000</v>
      </c>
    </row>
    <row r="44" spans="2:10" x14ac:dyDescent="0.25">
      <c r="H44" s="1">
        <f>H43*0.19</f>
        <v>95000</v>
      </c>
    </row>
    <row r="45" spans="2:10" x14ac:dyDescent="0.25">
      <c r="H45" s="1">
        <f>H44-H39</f>
        <v>38000</v>
      </c>
    </row>
    <row r="46" spans="2:10" x14ac:dyDescent="0.25">
      <c r="B46" s="3" t="s">
        <v>18</v>
      </c>
      <c r="C46" s="2"/>
    </row>
    <row r="47" spans="2:10" x14ac:dyDescent="0.25">
      <c r="C47" s="1" t="s">
        <v>91</v>
      </c>
    </row>
    <row r="48" spans="2:10" x14ac:dyDescent="0.25">
      <c r="B48" s="4"/>
      <c r="C48" s="4" t="s">
        <v>8</v>
      </c>
      <c r="D48" s="28"/>
      <c r="E48" s="4"/>
      <c r="G48" s="4"/>
      <c r="H48" s="4" t="s">
        <v>6</v>
      </c>
      <c r="I48" s="28"/>
      <c r="J48" s="28"/>
    </row>
    <row r="49" spans="2:10" x14ac:dyDescent="0.25">
      <c r="B49" s="1" t="s">
        <v>9</v>
      </c>
      <c r="C49" s="1">
        <f>F67+F75</f>
        <v>132575.75757575757</v>
      </c>
      <c r="D49" s="53">
        <v>5000000</v>
      </c>
      <c r="E49" s="1" t="str">
        <f>G49</f>
        <v>1)</v>
      </c>
      <c r="G49" s="1" t="s">
        <v>2</v>
      </c>
      <c r="H49" s="1">
        <f>D49</f>
        <v>5000000</v>
      </c>
      <c r="I49" s="53">
        <f>F66+F74</f>
        <v>159242.42424242425</v>
      </c>
      <c r="J49" s="26" t="str">
        <f>B49</f>
        <v>3)</v>
      </c>
    </row>
    <row r="50" spans="2:10" x14ac:dyDescent="0.25">
      <c r="B50" s="4"/>
      <c r="C50" s="4"/>
      <c r="D50" s="43">
        <v>1000000</v>
      </c>
      <c r="E50" s="4" t="s">
        <v>7</v>
      </c>
      <c r="G50" s="4" t="str">
        <f>E50</f>
        <v>2)</v>
      </c>
      <c r="H50" s="4">
        <f>D50</f>
        <v>1000000</v>
      </c>
      <c r="I50" s="43"/>
      <c r="J50" s="28"/>
    </row>
    <row r="51" spans="2:10" x14ac:dyDescent="0.25">
      <c r="C51" s="1">
        <f>C49</f>
        <v>132575.75757575757</v>
      </c>
      <c r="D51" s="42">
        <f>D49+D50</f>
        <v>6000000</v>
      </c>
      <c r="H51" s="1">
        <f>H49+H50</f>
        <v>6000000</v>
      </c>
      <c r="I51" s="42">
        <f>I49</f>
        <v>159242.42424242425</v>
      </c>
    </row>
    <row r="52" spans="2:10" x14ac:dyDescent="0.25">
      <c r="B52" s="4" t="s">
        <v>10</v>
      </c>
      <c r="C52" s="4">
        <f>D51-C51</f>
        <v>5867424.2424242422</v>
      </c>
      <c r="D52" s="43"/>
      <c r="E52" s="4"/>
      <c r="I52" s="42">
        <f>H51-I51</f>
        <v>5840757.5757575762</v>
      </c>
      <c r="J52" s="26" t="s">
        <v>10</v>
      </c>
    </row>
    <row r="53" spans="2:10" ht="17.25" x14ac:dyDescent="0.4">
      <c r="C53" s="10">
        <f>C51+C52</f>
        <v>6000000</v>
      </c>
      <c r="D53" s="128">
        <f>D51</f>
        <v>6000000</v>
      </c>
      <c r="I53" s="42"/>
    </row>
    <row r="55" spans="2:10" x14ac:dyDescent="0.25">
      <c r="B55" s="4"/>
      <c r="C55" s="4" t="s">
        <v>26</v>
      </c>
      <c r="D55" s="28"/>
      <c r="E55" s="4"/>
      <c r="G55" s="4"/>
      <c r="H55" s="4" t="s">
        <v>27</v>
      </c>
      <c r="I55" s="28"/>
      <c r="J55" s="28"/>
    </row>
    <row r="56" spans="2:10" x14ac:dyDescent="0.25">
      <c r="B56" s="7" t="str">
        <f>B49</f>
        <v>3)</v>
      </c>
      <c r="C56" s="7">
        <f>F68+F76</f>
        <v>26666.666666666664</v>
      </c>
      <c r="D56" s="127">
        <f>C56</f>
        <v>26666.666666666664</v>
      </c>
      <c r="E56" s="7" t="s">
        <v>28</v>
      </c>
      <c r="G56" s="7" t="str">
        <f>E56</f>
        <v>4)</v>
      </c>
      <c r="H56" s="7">
        <f>D56</f>
        <v>26666.666666666664</v>
      </c>
      <c r="I56" s="127"/>
      <c r="J56" s="29"/>
    </row>
    <row r="57" spans="2:10" ht="17.25" x14ac:dyDescent="0.4">
      <c r="C57" s="10">
        <f>C56</f>
        <v>26666.666666666664</v>
      </c>
      <c r="D57" s="128">
        <f>D56</f>
        <v>26666.666666666664</v>
      </c>
      <c r="H57" s="1">
        <f>H56</f>
        <v>26666.666666666664</v>
      </c>
      <c r="I57" s="42">
        <v>0</v>
      </c>
    </row>
    <row r="58" spans="2:10" x14ac:dyDescent="0.25">
      <c r="D58" s="42"/>
      <c r="I58" s="42">
        <f>H57-I57</f>
        <v>26666.666666666664</v>
      </c>
      <c r="J58" s="26" t="s">
        <v>10</v>
      </c>
    </row>
    <row r="59" spans="2:10" x14ac:dyDescent="0.25">
      <c r="D59" s="42"/>
      <c r="I59" s="42" t="s">
        <v>93</v>
      </c>
    </row>
    <row r="60" spans="2:10" x14ac:dyDescent="0.25">
      <c r="D60" s="42"/>
      <c r="I60" s="42"/>
    </row>
    <row r="62" spans="2:10" x14ac:dyDescent="0.25">
      <c r="C62" s="1" t="s">
        <v>61</v>
      </c>
    </row>
    <row r="63" spans="2:10" x14ac:dyDescent="0.25">
      <c r="C63" s="1" t="s">
        <v>62</v>
      </c>
      <c r="F63" s="26">
        <v>5000000</v>
      </c>
      <c r="G63" s="1" t="s">
        <v>19</v>
      </c>
    </row>
    <row r="64" spans="2:10" x14ac:dyDescent="0.25">
      <c r="C64" s="1" t="s">
        <v>63</v>
      </c>
      <c r="F64" s="26">
        <v>10</v>
      </c>
      <c r="G64" s="1" t="s">
        <v>64</v>
      </c>
    </row>
    <row r="65" spans="2:9" x14ac:dyDescent="0.25">
      <c r="C65" s="1" t="s">
        <v>21</v>
      </c>
      <c r="F65" s="26">
        <v>0.05</v>
      </c>
    </row>
    <row r="66" spans="2:9" x14ac:dyDescent="0.25">
      <c r="C66" s="1" t="s">
        <v>88</v>
      </c>
      <c r="F66" s="26">
        <f>F67+F68</f>
        <v>62500</v>
      </c>
    </row>
    <row r="67" spans="2:9" x14ac:dyDescent="0.25">
      <c r="C67" s="1" t="s">
        <v>89</v>
      </c>
      <c r="F67" s="26">
        <f>F63/F64/12</f>
        <v>41666.666666666664</v>
      </c>
      <c r="H67" s="1">
        <f>F67*12</f>
        <v>500000</v>
      </c>
    </row>
    <row r="68" spans="2:9" x14ac:dyDescent="0.25">
      <c r="C68" s="1" t="s">
        <v>90</v>
      </c>
      <c r="F68" s="26">
        <f>F63*F65/12</f>
        <v>20833.333333333332</v>
      </c>
    </row>
    <row r="70" spans="2:9" x14ac:dyDescent="0.25">
      <c r="C70" s="1" t="s">
        <v>66</v>
      </c>
    </row>
    <row r="71" spans="2:9" x14ac:dyDescent="0.25">
      <c r="C71" s="1" t="s">
        <v>62</v>
      </c>
      <c r="F71" s="26">
        <v>1000000</v>
      </c>
    </row>
    <row r="72" spans="2:9" x14ac:dyDescent="0.25">
      <c r="C72" s="1" t="s">
        <v>63</v>
      </c>
      <c r="F72" s="26">
        <v>11</v>
      </c>
      <c r="G72" s="1" t="s">
        <v>25</v>
      </c>
    </row>
    <row r="73" spans="2:9" x14ac:dyDescent="0.25">
      <c r="C73" s="1" t="s">
        <v>21</v>
      </c>
      <c r="F73" s="26">
        <v>7.0000000000000007E-2</v>
      </c>
    </row>
    <row r="74" spans="2:9" x14ac:dyDescent="0.25">
      <c r="C74" s="1" t="s">
        <v>88</v>
      </c>
      <c r="F74" s="26">
        <f>F75+F76</f>
        <v>96742.42424242424</v>
      </c>
    </row>
    <row r="75" spans="2:9" x14ac:dyDescent="0.25">
      <c r="C75" s="1" t="s">
        <v>89</v>
      </c>
      <c r="F75" s="26">
        <f>F71/F72</f>
        <v>90909.090909090912</v>
      </c>
    </row>
    <row r="76" spans="2:9" x14ac:dyDescent="0.25">
      <c r="C76" s="1" t="s">
        <v>90</v>
      </c>
      <c r="F76" s="26">
        <f>F71*F73/12</f>
        <v>5833.333333333333</v>
      </c>
    </row>
    <row r="78" spans="2:9" x14ac:dyDescent="0.25">
      <c r="B78" s="175" t="s">
        <v>12</v>
      </c>
      <c r="C78" s="176"/>
      <c r="D78" s="176"/>
      <c r="E78" s="176"/>
      <c r="F78" s="176"/>
      <c r="G78" s="176"/>
      <c r="H78" s="176"/>
      <c r="I78" s="177"/>
    </row>
    <row r="79" spans="2:9" x14ac:dyDescent="0.25">
      <c r="B79" s="175" t="s">
        <v>14</v>
      </c>
      <c r="C79" s="176"/>
      <c r="D79" s="176"/>
      <c r="E79" s="177"/>
      <c r="F79" s="175" t="s">
        <v>15</v>
      </c>
      <c r="G79" s="176"/>
      <c r="H79" s="176"/>
      <c r="I79" s="177"/>
    </row>
    <row r="80" spans="2:9" x14ac:dyDescent="0.25">
      <c r="B80" s="5" t="str">
        <f>H48</f>
        <v>Rachunek bankowy</v>
      </c>
      <c r="C80" s="12"/>
      <c r="D80" s="31">
        <f>I52</f>
        <v>5840757.5757575762</v>
      </c>
      <c r="E80" s="12"/>
      <c r="F80" s="53" t="s">
        <v>16</v>
      </c>
      <c r="G80" s="12"/>
      <c r="H80" s="12"/>
      <c r="I80" s="123">
        <f>I81</f>
        <v>-26666.666666666664</v>
      </c>
    </row>
    <row r="81" spans="2:10" x14ac:dyDescent="0.25">
      <c r="B81" s="6"/>
      <c r="C81" s="14"/>
      <c r="D81" s="30"/>
      <c r="E81" s="14"/>
      <c r="F81" s="42" t="s">
        <v>92</v>
      </c>
      <c r="G81" s="14"/>
      <c r="H81" s="14"/>
      <c r="I81" s="46">
        <f>-I58</f>
        <v>-26666.666666666664</v>
      </c>
    </row>
    <row r="82" spans="2:10" x14ac:dyDescent="0.25">
      <c r="B82" s="6"/>
      <c r="C82" s="14"/>
      <c r="D82" s="30"/>
      <c r="E82" s="14"/>
      <c r="F82" s="42" t="s">
        <v>33</v>
      </c>
      <c r="G82" s="14"/>
      <c r="H82" s="14"/>
      <c r="I82" s="46">
        <f>F63-F67*12</f>
        <v>4500000</v>
      </c>
    </row>
    <row r="83" spans="2:10" x14ac:dyDescent="0.25">
      <c r="B83" s="9"/>
      <c r="C83" s="4"/>
      <c r="D83" s="28"/>
      <c r="E83" s="4"/>
      <c r="F83" s="43" t="s">
        <v>34</v>
      </c>
      <c r="G83" s="4"/>
      <c r="H83" s="4"/>
      <c r="I83" s="47">
        <f>(F63-I82)-F67+F71-F75</f>
        <v>1367424.2424242424</v>
      </c>
    </row>
    <row r="84" spans="2:10" x14ac:dyDescent="0.25">
      <c r="B84" s="22" t="s">
        <v>75</v>
      </c>
      <c r="C84" s="23"/>
      <c r="D84" s="45">
        <f>D80</f>
        <v>5840757.5757575762</v>
      </c>
      <c r="E84" s="23"/>
      <c r="F84" s="44" t="s">
        <v>75</v>
      </c>
      <c r="G84" s="23"/>
      <c r="H84" s="23"/>
      <c r="I84" s="126">
        <f>I80+I82+I83</f>
        <v>5840757.5757575752</v>
      </c>
    </row>
    <row r="86" spans="2:10" x14ac:dyDescent="0.25">
      <c r="B86" s="3" t="s">
        <v>94</v>
      </c>
      <c r="C86" s="2"/>
    </row>
    <row r="88" spans="2:10" x14ac:dyDescent="0.25">
      <c r="B88" s="4"/>
      <c r="C88" s="4" t="s">
        <v>104</v>
      </c>
      <c r="D88" s="28"/>
      <c r="E88" s="4"/>
      <c r="G88" s="4"/>
      <c r="H88" s="4" t="s">
        <v>114</v>
      </c>
      <c r="I88" s="28"/>
      <c r="J88" s="28"/>
    </row>
    <row r="89" spans="2:10" x14ac:dyDescent="0.25">
      <c r="B89" s="1" t="str">
        <f>E96</f>
        <v>4)</v>
      </c>
      <c r="C89" s="1">
        <f>200000*4</f>
        <v>800000</v>
      </c>
      <c r="D89" s="53">
        <f>250000*4</f>
        <v>1000000</v>
      </c>
      <c r="E89" s="1" t="s">
        <v>2</v>
      </c>
      <c r="G89" s="1" t="str">
        <f>E89</f>
        <v>1)</v>
      </c>
      <c r="H89" s="1">
        <f>D89</f>
        <v>1000000</v>
      </c>
      <c r="I89" s="53">
        <f>SUM(H89:H92)</f>
        <v>1034999.9999999999</v>
      </c>
      <c r="J89" s="26" t="s">
        <v>98</v>
      </c>
    </row>
    <row r="90" spans="2:10" x14ac:dyDescent="0.25">
      <c r="D90" s="42">
        <v>10000</v>
      </c>
      <c r="E90" s="1" t="s">
        <v>7</v>
      </c>
      <c r="G90" s="1" t="str">
        <f>E90</f>
        <v>2)</v>
      </c>
      <c r="H90" s="1">
        <f>D90</f>
        <v>10000</v>
      </c>
      <c r="I90" s="42"/>
    </row>
    <row r="91" spans="2:10" x14ac:dyDescent="0.25">
      <c r="B91" s="4"/>
      <c r="C91" s="4"/>
      <c r="D91" s="43">
        <v>5000</v>
      </c>
      <c r="E91" s="4" t="s">
        <v>9</v>
      </c>
      <c r="G91" s="1" t="str">
        <f>E91</f>
        <v>3)</v>
      </c>
      <c r="H91" s="1">
        <f>D91</f>
        <v>5000</v>
      </c>
      <c r="I91" s="42"/>
    </row>
    <row r="92" spans="2:10" x14ac:dyDescent="0.25">
      <c r="B92" s="14"/>
      <c r="C92" s="14">
        <f>SUM(C89:C91)</f>
        <v>800000</v>
      </c>
      <c r="D92" s="42">
        <f>SUM(D89:D91)</f>
        <v>1015000</v>
      </c>
      <c r="E92" s="14"/>
      <c r="G92" s="4" t="str">
        <f>E96</f>
        <v>4)</v>
      </c>
      <c r="H92" s="4">
        <f>D96-C89</f>
        <v>19999.999999999884</v>
      </c>
      <c r="I92" s="43"/>
      <c r="J92" s="28"/>
    </row>
    <row r="93" spans="2:10" ht="17.25" x14ac:dyDescent="0.4">
      <c r="B93" s="1" t="s">
        <v>10</v>
      </c>
      <c r="C93" s="1">
        <f>D92-C92</f>
        <v>215000</v>
      </c>
      <c r="D93" s="42"/>
      <c r="G93" s="14"/>
      <c r="H93" s="25">
        <f>SUM(H89:H92)</f>
        <v>1034999.9999999999</v>
      </c>
      <c r="I93" s="128">
        <f>I89</f>
        <v>1034999.9999999999</v>
      </c>
      <c r="J93" s="30"/>
    </row>
    <row r="95" spans="2:10" x14ac:dyDescent="0.25">
      <c r="B95" s="4"/>
      <c r="C95" s="4" t="s">
        <v>6</v>
      </c>
      <c r="D95" s="28"/>
      <c r="E95" s="4"/>
      <c r="G95" s="4"/>
      <c r="H95" s="4" t="s">
        <v>99</v>
      </c>
      <c r="I95" s="28"/>
      <c r="J95" s="28"/>
    </row>
    <row r="96" spans="2:10" x14ac:dyDescent="0.25">
      <c r="B96" s="7"/>
      <c r="C96" s="7"/>
      <c r="D96" s="127">
        <f>200000*4.1</f>
        <v>819999.99999999988</v>
      </c>
      <c r="E96" s="7" t="s">
        <v>28</v>
      </c>
      <c r="G96" s="7" t="str">
        <f>J89</f>
        <v>5)</v>
      </c>
      <c r="H96" s="7">
        <f>I89</f>
        <v>1034999.9999999999</v>
      </c>
      <c r="I96" s="127"/>
      <c r="J96" s="29"/>
    </row>
    <row r="97" spans="2:11" x14ac:dyDescent="0.25">
      <c r="B97" s="14"/>
      <c r="C97" s="14">
        <f>C96</f>
        <v>0</v>
      </c>
      <c r="D97" s="42">
        <f>SUM(D96)</f>
        <v>819999.99999999988</v>
      </c>
      <c r="E97" s="14"/>
      <c r="G97" s="14"/>
      <c r="H97" s="14">
        <f>H96</f>
        <v>1034999.9999999999</v>
      </c>
      <c r="I97" s="42">
        <v>0</v>
      </c>
      <c r="J97" s="30"/>
    </row>
    <row r="98" spans="2:11" x14ac:dyDescent="0.25">
      <c r="B98" s="1" t="s">
        <v>31</v>
      </c>
      <c r="C98" s="1">
        <f>D97-C97</f>
        <v>819999.99999999988</v>
      </c>
      <c r="D98" s="42"/>
      <c r="I98" s="42">
        <f>H97-I97</f>
        <v>1034999.9999999999</v>
      </c>
      <c r="J98" s="26" t="s">
        <v>31</v>
      </c>
    </row>
    <row r="99" spans="2:11" x14ac:dyDescent="0.25">
      <c r="B99" s="1" t="s">
        <v>123</v>
      </c>
      <c r="D99" s="42"/>
      <c r="I99" s="42"/>
    </row>
    <row r="100" spans="2:11" x14ac:dyDescent="0.25">
      <c r="D100" s="42"/>
      <c r="I100" s="42"/>
    </row>
    <row r="102" spans="2:11" x14ac:dyDescent="0.25">
      <c r="B102" s="178" t="s">
        <v>12</v>
      </c>
      <c r="C102" s="179"/>
      <c r="D102" s="179"/>
      <c r="E102" s="179"/>
      <c r="F102" s="179"/>
      <c r="G102" s="179"/>
      <c r="H102" s="179"/>
      <c r="I102" s="179"/>
      <c r="J102" s="179"/>
      <c r="K102" s="13"/>
    </row>
    <row r="103" spans="2:11" x14ac:dyDescent="0.25">
      <c r="B103" s="178" t="s">
        <v>14</v>
      </c>
      <c r="C103" s="179"/>
      <c r="D103" s="179"/>
      <c r="E103" s="179"/>
      <c r="F103" s="179"/>
      <c r="G103" s="179" t="s">
        <v>15</v>
      </c>
      <c r="H103" s="179"/>
      <c r="I103" s="179"/>
      <c r="J103" s="179"/>
      <c r="K103" s="13"/>
    </row>
    <row r="104" spans="2:11" x14ac:dyDescent="0.25">
      <c r="B104" s="6"/>
      <c r="C104" s="14"/>
      <c r="D104" s="30"/>
      <c r="E104" s="14"/>
      <c r="F104" s="30"/>
      <c r="G104" s="14"/>
      <c r="H104" s="14"/>
      <c r="I104" s="30"/>
      <c r="J104" s="30"/>
      <c r="K104" s="15"/>
    </row>
    <row r="105" spans="2:11" x14ac:dyDescent="0.25">
      <c r="B105" s="6"/>
      <c r="C105" s="14" t="str">
        <f>H95</f>
        <v>Środki trwałe</v>
      </c>
      <c r="D105" s="30"/>
      <c r="E105" s="14"/>
      <c r="F105" s="30">
        <f>I98</f>
        <v>1034999.9999999999</v>
      </c>
      <c r="G105" s="14"/>
      <c r="H105" s="14" t="str">
        <f>C88</f>
        <v>Zobowiązania wobec kontrahentów</v>
      </c>
      <c r="I105" s="30"/>
      <c r="J105" s="30"/>
      <c r="K105" s="15">
        <f>C93</f>
        <v>215000</v>
      </c>
    </row>
    <row r="106" spans="2:11" x14ac:dyDescent="0.25">
      <c r="B106" s="6"/>
      <c r="C106" s="14"/>
      <c r="D106" s="30"/>
      <c r="E106" s="14"/>
      <c r="F106" s="30"/>
      <c r="G106" s="14"/>
      <c r="H106" s="14" t="str">
        <f>C95</f>
        <v>Rachunek bankowy</v>
      </c>
      <c r="I106" s="30"/>
      <c r="J106" s="30"/>
      <c r="K106" s="15">
        <f>C98</f>
        <v>819999.99999999988</v>
      </c>
    </row>
    <row r="107" spans="2:11" x14ac:dyDescent="0.25">
      <c r="B107" s="6"/>
      <c r="C107" s="14"/>
      <c r="D107" s="30"/>
      <c r="E107" s="14"/>
      <c r="F107" s="30"/>
      <c r="G107" s="14"/>
      <c r="H107" s="14" t="s">
        <v>124</v>
      </c>
      <c r="I107" s="30"/>
      <c r="J107" s="30"/>
      <c r="K107" s="15"/>
    </row>
    <row r="108" spans="2:11" x14ac:dyDescent="0.25">
      <c r="B108" s="9"/>
      <c r="C108" s="4"/>
      <c r="D108" s="28"/>
      <c r="E108" s="4"/>
      <c r="F108" s="28"/>
      <c r="G108" s="4"/>
      <c r="H108" s="4"/>
      <c r="I108" s="28"/>
      <c r="J108" s="28"/>
      <c r="K108" s="16"/>
    </row>
    <row r="109" spans="2:11" x14ac:dyDescent="0.25">
      <c r="B109" s="22" t="s">
        <v>42</v>
      </c>
      <c r="C109" s="23"/>
      <c r="D109" s="45"/>
      <c r="E109" s="23"/>
      <c r="F109" s="45">
        <f>F105</f>
        <v>1034999.9999999999</v>
      </c>
      <c r="G109" s="23" t="s">
        <v>42</v>
      </c>
      <c r="H109" s="23"/>
      <c r="I109" s="28"/>
      <c r="J109" s="28"/>
      <c r="K109" s="24">
        <f>K105+K106</f>
        <v>1034999.9999999999</v>
      </c>
    </row>
    <row r="111" spans="2:11" x14ac:dyDescent="0.25">
      <c r="B111" s="3" t="s">
        <v>103</v>
      </c>
      <c r="C111" s="2"/>
    </row>
    <row r="112" spans="2:11" x14ac:dyDescent="0.25">
      <c r="H112" s="1" t="s">
        <v>125</v>
      </c>
    </row>
    <row r="113" spans="2:10" x14ac:dyDescent="0.25">
      <c r="B113" s="4"/>
      <c r="C113" s="4" t="s">
        <v>104</v>
      </c>
      <c r="D113" s="28"/>
      <c r="E113" s="4"/>
      <c r="G113" s="4"/>
      <c r="H113" s="4" t="s">
        <v>119</v>
      </c>
      <c r="I113" s="28"/>
      <c r="J113" s="28"/>
    </row>
    <row r="114" spans="2:10" x14ac:dyDescent="0.25">
      <c r="B114" s="1" t="s">
        <v>98</v>
      </c>
      <c r="C114" s="1">
        <v>1500</v>
      </c>
      <c r="D114" s="53">
        <v>1000</v>
      </c>
      <c r="E114" s="1" t="s">
        <v>7</v>
      </c>
      <c r="G114" s="1" t="str">
        <f>E114</f>
        <v>2)</v>
      </c>
      <c r="H114" s="1">
        <f>D114</f>
        <v>1000</v>
      </c>
      <c r="I114" s="53">
        <f>H114</f>
        <v>1000</v>
      </c>
    </row>
    <row r="115" spans="2:10" x14ac:dyDescent="0.25">
      <c r="B115" s="4"/>
      <c r="C115" s="4"/>
      <c r="D115" s="43">
        <v>100000</v>
      </c>
      <c r="E115" s="4" t="s">
        <v>110</v>
      </c>
      <c r="I115" s="42"/>
    </row>
    <row r="116" spans="2:10" x14ac:dyDescent="0.25">
      <c r="C116" s="1">
        <f>SUM(C114:C115)</f>
        <v>1500</v>
      </c>
      <c r="D116" s="42">
        <f>SUM(D114:D115)</f>
        <v>101000</v>
      </c>
      <c r="I116" s="42"/>
    </row>
    <row r="117" spans="2:10" x14ac:dyDescent="0.25">
      <c r="B117" s="1" t="s">
        <v>31</v>
      </c>
      <c r="C117" s="1">
        <f>D116-C116</f>
        <v>99500</v>
      </c>
      <c r="D117" s="42"/>
      <c r="I117" s="42"/>
    </row>
    <row r="118" spans="2:10" x14ac:dyDescent="0.25">
      <c r="D118" s="42"/>
      <c r="I118" s="42"/>
    </row>
    <row r="119" spans="2:10" x14ac:dyDescent="0.25">
      <c r="H119" s="1" t="s">
        <v>126</v>
      </c>
    </row>
    <row r="120" spans="2:10" x14ac:dyDescent="0.25">
      <c r="B120" s="4"/>
      <c r="C120" s="4" t="s">
        <v>128</v>
      </c>
      <c r="D120" s="28"/>
      <c r="E120" s="4"/>
      <c r="G120" s="4"/>
      <c r="H120" s="4" t="s">
        <v>117</v>
      </c>
      <c r="I120" s="28"/>
      <c r="J120" s="28"/>
    </row>
    <row r="121" spans="2:10" x14ac:dyDescent="0.25">
      <c r="B121" s="7" t="s">
        <v>110</v>
      </c>
      <c r="C121" s="7">
        <f>D115</f>
        <v>100000</v>
      </c>
      <c r="D121" s="127"/>
      <c r="E121" s="7"/>
      <c r="I121" s="53">
        <f>D114</f>
        <v>1000</v>
      </c>
      <c r="J121" s="26" t="str">
        <f>E114</f>
        <v>2)</v>
      </c>
    </row>
    <row r="122" spans="2:10" x14ac:dyDescent="0.25">
      <c r="C122" s="1">
        <f>C121</f>
        <v>100000</v>
      </c>
      <c r="D122" s="42">
        <f>D121</f>
        <v>0</v>
      </c>
      <c r="I122" s="42"/>
    </row>
    <row r="123" spans="2:10" x14ac:dyDescent="0.25">
      <c r="D123" s="42">
        <f>C122-D122</f>
        <v>100000</v>
      </c>
      <c r="E123" s="1" t="s">
        <v>31</v>
      </c>
      <c r="I123" s="42"/>
    </row>
    <row r="124" spans="2:10" x14ac:dyDescent="0.25">
      <c r="D124" s="42"/>
      <c r="I124" s="42"/>
    </row>
    <row r="125" spans="2:10" x14ac:dyDescent="0.25">
      <c r="D125" s="42"/>
      <c r="I125" s="42"/>
    </row>
    <row r="126" spans="2:10" x14ac:dyDescent="0.25">
      <c r="C126" s="1" t="s">
        <v>126</v>
      </c>
    </row>
    <row r="127" spans="2:10" x14ac:dyDescent="0.25">
      <c r="B127" s="4"/>
      <c r="C127" s="4" t="s">
        <v>127</v>
      </c>
      <c r="D127" s="28"/>
      <c r="E127" s="4"/>
      <c r="G127" s="4"/>
      <c r="H127" s="4" t="s">
        <v>122</v>
      </c>
      <c r="I127" s="28"/>
      <c r="J127" s="28"/>
    </row>
    <row r="128" spans="2:10" x14ac:dyDescent="0.25">
      <c r="B128" s="1" t="str">
        <f>B114</f>
        <v>5)</v>
      </c>
      <c r="C128" s="1">
        <f>C114</f>
        <v>1500</v>
      </c>
      <c r="D128" s="53">
        <f>D115</f>
        <v>100000</v>
      </c>
      <c r="E128" s="1" t="str">
        <f>E115</f>
        <v>3-4)</v>
      </c>
      <c r="G128" s="7" t="s">
        <v>101</v>
      </c>
      <c r="H128" s="7">
        <v>0</v>
      </c>
      <c r="I128" s="127">
        <v>2000</v>
      </c>
      <c r="J128" s="29" t="str">
        <f>B114</f>
        <v>5)</v>
      </c>
    </row>
    <row r="129" spans="2:10" x14ac:dyDescent="0.25">
      <c r="D129" s="42"/>
      <c r="H129" s="1">
        <v>0</v>
      </c>
      <c r="I129" s="42">
        <f>I128</f>
        <v>2000</v>
      </c>
    </row>
    <row r="130" spans="2:10" x14ac:dyDescent="0.25">
      <c r="D130" s="42"/>
      <c r="G130" s="1" t="s">
        <v>10</v>
      </c>
      <c r="H130" s="1">
        <f>I129-H129</f>
        <v>2000</v>
      </c>
      <c r="I130" s="42"/>
    </row>
    <row r="131" spans="2:10" x14ac:dyDescent="0.25">
      <c r="D131" s="42"/>
      <c r="I131" s="42"/>
    </row>
    <row r="132" spans="2:10" x14ac:dyDescent="0.25">
      <c r="D132" s="42"/>
      <c r="I132" s="42"/>
    </row>
    <row r="134" spans="2:10" x14ac:dyDescent="0.25">
      <c r="B134" s="4"/>
      <c r="C134" s="4" t="s">
        <v>26</v>
      </c>
      <c r="D134" s="28"/>
      <c r="E134" s="4"/>
      <c r="G134" s="4"/>
      <c r="H134" s="4" t="s">
        <v>111</v>
      </c>
      <c r="I134" s="28"/>
      <c r="J134" s="28"/>
    </row>
    <row r="135" spans="2:10" x14ac:dyDescent="0.25">
      <c r="B135" s="1" t="str">
        <f>J128</f>
        <v>5)</v>
      </c>
      <c r="C135" s="1">
        <f>I128-C114</f>
        <v>500</v>
      </c>
      <c r="D135" s="53">
        <f>C135</f>
        <v>500</v>
      </c>
      <c r="G135" s="1" t="s">
        <v>113</v>
      </c>
      <c r="H135" s="1">
        <v>20000</v>
      </c>
      <c r="I135" s="53">
        <f>H135</f>
        <v>20000</v>
      </c>
    </row>
    <row r="136" spans="2:10" x14ac:dyDescent="0.25">
      <c r="D136" s="42"/>
      <c r="I136" s="42"/>
    </row>
    <row r="137" spans="2:10" x14ac:dyDescent="0.25">
      <c r="D137" s="42"/>
      <c r="I137" s="42"/>
    </row>
    <row r="138" spans="2:10" x14ac:dyDescent="0.25">
      <c r="D138" s="42"/>
      <c r="I138" s="42"/>
    </row>
    <row r="139" spans="2:10" x14ac:dyDescent="0.25">
      <c r="D139" s="42"/>
      <c r="I139" s="42"/>
    </row>
    <row r="141" spans="2:10" x14ac:dyDescent="0.25">
      <c r="B141" s="4"/>
      <c r="C141" s="4" t="s">
        <v>112</v>
      </c>
      <c r="D141" s="28"/>
      <c r="E141" s="4"/>
      <c r="G141" s="4"/>
      <c r="H141" s="4" t="s">
        <v>129</v>
      </c>
      <c r="I141" s="28"/>
      <c r="J141" s="28"/>
    </row>
    <row r="142" spans="2:10" x14ac:dyDescent="0.25">
      <c r="B142" s="7"/>
      <c r="C142" s="7"/>
      <c r="D142" s="127">
        <f>H135</f>
        <v>20000</v>
      </c>
      <c r="E142" s="7" t="str">
        <f>G135</f>
        <v>6)</v>
      </c>
      <c r="H142" s="1">
        <f>I114</f>
        <v>1000</v>
      </c>
      <c r="I142" s="53"/>
    </row>
    <row r="143" spans="2:10" x14ac:dyDescent="0.25">
      <c r="C143" s="1">
        <v>0</v>
      </c>
      <c r="D143" s="42">
        <f>D142</f>
        <v>20000</v>
      </c>
      <c r="H143" s="1">
        <f>D135</f>
        <v>500</v>
      </c>
      <c r="I143" s="42"/>
    </row>
    <row r="144" spans="2:10" x14ac:dyDescent="0.25">
      <c r="B144" s="1" t="s">
        <v>31</v>
      </c>
      <c r="C144" s="1">
        <f>D143-C143</f>
        <v>20000</v>
      </c>
      <c r="D144" s="42"/>
      <c r="G144" s="4"/>
      <c r="H144" s="4">
        <f>I135</f>
        <v>20000</v>
      </c>
      <c r="I144" s="43"/>
      <c r="J144" s="28"/>
    </row>
    <row r="145" spans="2:11" x14ac:dyDescent="0.25">
      <c r="D145" s="42"/>
      <c r="H145" s="1">
        <f>SUM(H142:H144)</f>
        <v>21500</v>
      </c>
      <c r="I145" s="42">
        <v>0</v>
      </c>
    </row>
    <row r="146" spans="2:11" x14ac:dyDescent="0.25">
      <c r="D146" s="42"/>
      <c r="I146" s="42">
        <f>H145-I145</f>
        <v>21500</v>
      </c>
      <c r="J146" s="26" t="s">
        <v>31</v>
      </c>
    </row>
    <row r="148" spans="2:11" x14ac:dyDescent="0.25">
      <c r="B148" s="178" t="s">
        <v>12</v>
      </c>
      <c r="C148" s="179"/>
      <c r="D148" s="179"/>
      <c r="E148" s="179"/>
      <c r="F148" s="179"/>
      <c r="G148" s="179"/>
      <c r="H148" s="179"/>
      <c r="I148" s="179"/>
      <c r="J148" s="179"/>
      <c r="K148" s="13"/>
    </row>
    <row r="149" spans="2:11" x14ac:dyDescent="0.25">
      <c r="B149" s="178" t="s">
        <v>14</v>
      </c>
      <c r="C149" s="179"/>
      <c r="D149" s="179"/>
      <c r="E149" s="179"/>
      <c r="F149" s="179"/>
      <c r="G149" s="179" t="s">
        <v>15</v>
      </c>
      <c r="H149" s="179"/>
      <c r="I149" s="179"/>
      <c r="J149" s="179"/>
      <c r="K149" s="13"/>
    </row>
    <row r="150" spans="2:11" x14ac:dyDescent="0.25">
      <c r="B150" s="6"/>
      <c r="C150" s="14"/>
      <c r="D150" s="30"/>
      <c r="E150" s="14"/>
      <c r="F150" s="30"/>
      <c r="G150" s="14"/>
      <c r="H150" s="14" t="str">
        <f>H141</f>
        <v>Wynik finansowy</v>
      </c>
      <c r="I150" s="30"/>
      <c r="J150" s="30"/>
      <c r="K150" s="15">
        <f>-I146</f>
        <v>-21500</v>
      </c>
    </row>
    <row r="151" spans="2:11" x14ac:dyDescent="0.25">
      <c r="B151" s="6"/>
      <c r="C151" s="14" t="str">
        <f>C120</f>
        <v>Środki trwałe / prawo do użytkowania (wg MSSF16)</v>
      </c>
      <c r="D151" s="30"/>
      <c r="E151" s="14"/>
      <c r="F151" s="30">
        <f>D123-C144</f>
        <v>80000</v>
      </c>
      <c r="G151" s="14"/>
      <c r="H151" s="14" t="str">
        <f>C113</f>
        <v>Zobowiązania wobec kontrahentów</v>
      </c>
      <c r="I151" s="30"/>
      <c r="J151" s="30"/>
      <c r="K151" s="15">
        <f>C117</f>
        <v>99500</v>
      </c>
    </row>
    <row r="152" spans="2:11" x14ac:dyDescent="0.25">
      <c r="B152" s="6"/>
      <c r="C152" s="14"/>
      <c r="D152" s="30"/>
      <c r="E152" s="14"/>
      <c r="F152" s="30"/>
      <c r="G152" s="14"/>
      <c r="H152" s="14" t="str">
        <f>H127</f>
        <v>rachunek bankowy</v>
      </c>
      <c r="I152" s="30"/>
      <c r="J152" s="30"/>
      <c r="K152" s="15">
        <f>H130</f>
        <v>2000</v>
      </c>
    </row>
    <row r="153" spans="2:11" x14ac:dyDescent="0.25">
      <c r="B153" s="6"/>
      <c r="C153" s="14"/>
      <c r="D153" s="30"/>
      <c r="E153" s="14"/>
      <c r="F153" s="30"/>
      <c r="G153" s="14"/>
      <c r="H153" s="14" t="s">
        <v>124</v>
      </c>
      <c r="I153" s="30"/>
      <c r="J153" s="30"/>
      <c r="K153" s="15"/>
    </row>
    <row r="154" spans="2:11" x14ac:dyDescent="0.25">
      <c r="B154" s="9"/>
      <c r="C154" s="4"/>
      <c r="D154" s="28"/>
      <c r="E154" s="4"/>
      <c r="F154" s="28"/>
      <c r="G154" s="4"/>
      <c r="H154" s="4"/>
      <c r="I154" s="28"/>
      <c r="J154" s="28"/>
      <c r="K154" s="16"/>
    </row>
    <row r="155" spans="2:11" x14ac:dyDescent="0.25">
      <c r="B155" s="22" t="s">
        <v>42</v>
      </c>
      <c r="C155" s="23"/>
      <c r="D155" s="45"/>
      <c r="E155" s="23"/>
      <c r="F155" s="45">
        <f>F151</f>
        <v>80000</v>
      </c>
      <c r="G155" s="23" t="s">
        <v>42</v>
      </c>
      <c r="H155" s="23"/>
      <c r="I155" s="28"/>
      <c r="J155" s="28"/>
      <c r="K155" s="24">
        <f>K151+K152+K150</f>
        <v>80000</v>
      </c>
    </row>
    <row r="158" spans="2:11" x14ac:dyDescent="0.25">
      <c r="B158" s="3" t="s">
        <v>155</v>
      </c>
      <c r="C158" s="2"/>
      <c r="D158" s="71"/>
    </row>
    <row r="160" spans="2:11" x14ac:dyDescent="0.25">
      <c r="C160" s="1" t="s">
        <v>169</v>
      </c>
    </row>
    <row r="162" spans="2:13" x14ac:dyDescent="0.25">
      <c r="B162" s="1" t="s">
        <v>170</v>
      </c>
    </row>
    <row r="163" spans="2:13" x14ac:dyDescent="0.25">
      <c r="I163" s="26" t="s">
        <v>172</v>
      </c>
    </row>
    <row r="164" spans="2:13" x14ac:dyDescent="0.25">
      <c r="B164" s="1">
        <v>1</v>
      </c>
      <c r="C164" s="1">
        <v>100</v>
      </c>
      <c r="D164" s="26" t="s">
        <v>136</v>
      </c>
      <c r="F164" s="26">
        <v>250</v>
      </c>
      <c r="G164" s="1" t="s">
        <v>19</v>
      </c>
      <c r="I164" s="48" t="s">
        <v>132</v>
      </c>
      <c r="K164" s="1">
        <f>F169/C169</f>
        <v>176.81034482758622</v>
      </c>
      <c r="L164" s="1" t="s">
        <v>174</v>
      </c>
      <c r="M164" s="1">
        <f>K164*C169</f>
        <v>102550.00000000001</v>
      </c>
    </row>
    <row r="165" spans="2:13" x14ac:dyDescent="0.25">
      <c r="B165" s="1">
        <v>2</v>
      </c>
      <c r="C165" s="1">
        <v>120</v>
      </c>
      <c r="D165" s="26" t="s">
        <v>136</v>
      </c>
      <c r="F165" s="26">
        <v>200</v>
      </c>
      <c r="G165" s="1" t="s">
        <v>19</v>
      </c>
      <c r="I165" s="26" t="s">
        <v>175</v>
      </c>
      <c r="L165" s="33">
        <f>K164*250</f>
        <v>44202.586206896558</v>
      </c>
    </row>
    <row r="166" spans="2:13" x14ac:dyDescent="0.25">
      <c r="B166" s="1">
        <v>3</v>
      </c>
      <c r="C166" s="1">
        <v>110</v>
      </c>
      <c r="D166" s="26" t="s">
        <v>136</v>
      </c>
      <c r="F166" s="26">
        <v>180</v>
      </c>
      <c r="G166" s="1" t="s">
        <v>19</v>
      </c>
      <c r="I166" s="26" t="s">
        <v>176</v>
      </c>
      <c r="L166" s="55">
        <f>I180-C196</f>
        <v>30797.413793103442</v>
      </c>
    </row>
    <row r="167" spans="2:13" x14ac:dyDescent="0.25">
      <c r="B167" s="1">
        <v>4</v>
      </c>
      <c r="C167" s="1">
        <v>100</v>
      </c>
      <c r="D167" s="26" t="s">
        <v>136</v>
      </c>
      <c r="F167" s="26">
        <v>150</v>
      </c>
      <c r="G167" s="1" t="s">
        <v>19</v>
      </c>
      <c r="I167" s="50" t="s">
        <v>133</v>
      </c>
      <c r="L167" s="38">
        <f>C164*F164+C165*F165+(250-C165-C164)*F166</f>
        <v>54400</v>
      </c>
    </row>
    <row r="168" spans="2:13" x14ac:dyDescent="0.25">
      <c r="B168" s="1">
        <v>5</v>
      </c>
      <c r="C168" s="1">
        <v>150</v>
      </c>
      <c r="D168" s="26" t="s">
        <v>136</v>
      </c>
      <c r="F168" s="26">
        <v>125</v>
      </c>
      <c r="G168" s="1" t="s">
        <v>19</v>
      </c>
      <c r="I168" s="26" t="s">
        <v>176</v>
      </c>
      <c r="L168" s="54">
        <f>I180-C197</f>
        <v>20600</v>
      </c>
    </row>
    <row r="169" spans="2:13" x14ac:dyDescent="0.25">
      <c r="C169" s="1">
        <f>SUM(C164:C168)</f>
        <v>580</v>
      </c>
      <c r="D169" s="26" t="s">
        <v>136</v>
      </c>
      <c r="F169" s="26">
        <f>C164*F164+C165*F165+C166*F166+C167*F167+C168*F168</f>
        <v>102550</v>
      </c>
      <c r="G169" s="1" t="s">
        <v>19</v>
      </c>
      <c r="I169" s="51" t="s">
        <v>134</v>
      </c>
      <c r="L169" s="35">
        <f>C168*F168+C167*F167</f>
        <v>33750</v>
      </c>
    </row>
    <row r="170" spans="2:13" x14ac:dyDescent="0.25">
      <c r="B170" s="138" t="s">
        <v>171</v>
      </c>
      <c r="I170" s="26" t="s">
        <v>176</v>
      </c>
      <c r="L170" s="56">
        <f>I180-C198</f>
        <v>41250</v>
      </c>
    </row>
    <row r="171" spans="2:13" x14ac:dyDescent="0.25">
      <c r="B171" s="4"/>
      <c r="C171" s="4" t="s">
        <v>137</v>
      </c>
      <c r="D171" s="28"/>
      <c r="E171" s="4"/>
      <c r="G171" s="28"/>
      <c r="H171" s="4" t="s">
        <v>104</v>
      </c>
      <c r="I171" s="28"/>
      <c r="J171" s="28"/>
    </row>
    <row r="172" spans="2:13" x14ac:dyDescent="0.25">
      <c r="B172" s="1">
        <f>B164</f>
        <v>1</v>
      </c>
      <c r="C172" s="1">
        <f>C164*F164</f>
        <v>25000</v>
      </c>
      <c r="D172" s="144">
        <f>L165</f>
        <v>44202.586206896558</v>
      </c>
      <c r="E172" s="33" t="s">
        <v>144</v>
      </c>
      <c r="G172" s="26"/>
      <c r="I172" s="53">
        <f>C172*1.23</f>
        <v>30750</v>
      </c>
      <c r="J172" s="26">
        <f>B172</f>
        <v>1</v>
      </c>
    </row>
    <row r="173" spans="2:13" x14ac:dyDescent="0.25">
      <c r="B173" s="1">
        <f>B165</f>
        <v>2</v>
      </c>
      <c r="C173" s="1">
        <f>C165*F165</f>
        <v>24000</v>
      </c>
      <c r="D173" s="132">
        <f>L167</f>
        <v>54400</v>
      </c>
      <c r="E173" s="38" t="str">
        <f>E172</f>
        <v>7)</v>
      </c>
      <c r="G173" s="26"/>
      <c r="I173" s="42">
        <f>C173*1.23</f>
        <v>29520</v>
      </c>
      <c r="J173" s="26">
        <f>B173</f>
        <v>2</v>
      </c>
    </row>
    <row r="174" spans="2:13" x14ac:dyDescent="0.25">
      <c r="B174" s="1">
        <f>B166</f>
        <v>3</v>
      </c>
      <c r="C174" s="1">
        <f>C166*F166</f>
        <v>19800</v>
      </c>
      <c r="D174" s="133">
        <f>L169</f>
        <v>33750</v>
      </c>
      <c r="E174" s="35" t="str">
        <f>E173</f>
        <v>7)</v>
      </c>
      <c r="G174" s="26"/>
      <c r="I174" s="42">
        <f>C174*1.23</f>
        <v>24354</v>
      </c>
      <c r="J174" s="26">
        <f>B174</f>
        <v>3</v>
      </c>
    </row>
    <row r="175" spans="2:13" x14ac:dyDescent="0.25">
      <c r="B175" s="1">
        <f>B167</f>
        <v>4</v>
      </c>
      <c r="C175" s="1">
        <f>C167*F167</f>
        <v>15000</v>
      </c>
      <c r="D175" s="42"/>
      <c r="G175" s="26"/>
      <c r="I175" s="42">
        <f>C175*1.23</f>
        <v>18450</v>
      </c>
      <c r="J175" s="26">
        <f>B175</f>
        <v>4</v>
      </c>
    </row>
    <row r="176" spans="2:13" x14ac:dyDescent="0.25">
      <c r="B176" s="1">
        <f>B168</f>
        <v>5</v>
      </c>
      <c r="C176" s="1">
        <f>C168*F168</f>
        <v>18750</v>
      </c>
      <c r="D176" s="42"/>
      <c r="G176" s="26"/>
      <c r="I176" s="42">
        <f>C176*1.23</f>
        <v>23062.5</v>
      </c>
      <c r="J176" s="26">
        <f>B176</f>
        <v>5</v>
      </c>
    </row>
    <row r="177" spans="2:10" x14ac:dyDescent="0.25">
      <c r="D177" s="42"/>
      <c r="G177" s="26"/>
      <c r="I177" s="42"/>
    </row>
    <row r="179" spans="2:10" x14ac:dyDescent="0.25">
      <c r="B179" s="4"/>
      <c r="C179" s="4" t="s">
        <v>158</v>
      </c>
      <c r="D179" s="28"/>
      <c r="E179" s="4"/>
      <c r="G179" s="28"/>
      <c r="H179" s="4" t="s">
        <v>173</v>
      </c>
      <c r="I179" s="28"/>
      <c r="J179" s="28"/>
    </row>
    <row r="180" spans="2:10" x14ac:dyDescent="0.25">
      <c r="B180" s="1">
        <f>B172</f>
        <v>1</v>
      </c>
      <c r="C180" s="1">
        <f>I172-C172</f>
        <v>5750</v>
      </c>
      <c r="D180" s="53"/>
      <c r="G180" s="26"/>
      <c r="I180" s="53">
        <f>250*300</f>
        <v>75000</v>
      </c>
      <c r="J180" s="26" t="str">
        <f>B188</f>
        <v>6)</v>
      </c>
    </row>
    <row r="181" spans="2:10" x14ac:dyDescent="0.25">
      <c r="B181" s="1">
        <f>B173</f>
        <v>2</v>
      </c>
      <c r="C181" s="1">
        <f>I173-C173</f>
        <v>5520</v>
      </c>
      <c r="D181" s="42"/>
      <c r="G181" s="26"/>
      <c r="I181" s="42"/>
    </row>
    <row r="182" spans="2:10" x14ac:dyDescent="0.25">
      <c r="B182" s="1">
        <f>B174</f>
        <v>3</v>
      </c>
      <c r="C182" s="1">
        <f>I174-C174</f>
        <v>4554</v>
      </c>
      <c r="D182" s="42"/>
      <c r="G182" s="26"/>
      <c r="I182" s="42"/>
    </row>
    <row r="183" spans="2:10" x14ac:dyDescent="0.25">
      <c r="B183" s="1">
        <f>B175</f>
        <v>4</v>
      </c>
      <c r="C183" s="1">
        <f>I175-C175</f>
        <v>3450</v>
      </c>
      <c r="D183" s="42"/>
      <c r="G183" s="26"/>
      <c r="I183" s="42"/>
    </row>
    <row r="184" spans="2:10" x14ac:dyDescent="0.25">
      <c r="B184" s="1">
        <f>B176</f>
        <v>5</v>
      </c>
      <c r="C184" s="1">
        <f>I176-C176</f>
        <v>4312.5</v>
      </c>
      <c r="D184" s="42"/>
      <c r="G184" s="26"/>
      <c r="I184" s="42"/>
    </row>
    <row r="185" spans="2:10" x14ac:dyDescent="0.25">
      <c r="D185" s="42"/>
      <c r="G185" s="26"/>
      <c r="I185" s="42"/>
    </row>
    <row r="187" spans="2:10" x14ac:dyDescent="0.25">
      <c r="B187" s="4"/>
      <c r="C187" s="4" t="s">
        <v>139</v>
      </c>
      <c r="D187" s="28"/>
      <c r="E187" s="4"/>
      <c r="G187" s="28"/>
      <c r="H187" s="4" t="s">
        <v>141</v>
      </c>
      <c r="I187" s="28"/>
      <c r="J187" s="28"/>
    </row>
    <row r="188" spans="2:10" x14ac:dyDescent="0.25">
      <c r="B188" s="1" t="s">
        <v>113</v>
      </c>
      <c r="C188" s="1">
        <f>(250*300)*1.23</f>
        <v>92250</v>
      </c>
      <c r="D188" s="53"/>
      <c r="G188" s="26"/>
      <c r="I188" s="53">
        <f>I180*0.23</f>
        <v>17250</v>
      </c>
      <c r="J188" s="26" t="str">
        <f>J180</f>
        <v>6)</v>
      </c>
    </row>
    <row r="189" spans="2:10" x14ac:dyDescent="0.25">
      <c r="D189" s="42"/>
      <c r="G189" s="26"/>
      <c r="I189" s="42"/>
    </row>
    <row r="190" spans="2:10" x14ac:dyDescent="0.25">
      <c r="D190" s="42"/>
      <c r="G190" s="26"/>
      <c r="I190" s="42"/>
    </row>
    <row r="191" spans="2:10" x14ac:dyDescent="0.25">
      <c r="D191" s="42"/>
      <c r="G191" s="26"/>
      <c r="I191" s="42"/>
    </row>
    <row r="192" spans="2:10" x14ac:dyDescent="0.25">
      <c r="D192" s="42"/>
      <c r="G192" s="26"/>
      <c r="I192" s="42"/>
    </row>
    <row r="193" spans="2:10" x14ac:dyDescent="0.25">
      <c r="D193" s="42"/>
      <c r="G193" s="26"/>
      <c r="I193" s="42"/>
    </row>
    <row r="195" spans="2:10" x14ac:dyDescent="0.25">
      <c r="B195" s="4"/>
      <c r="C195" s="4" t="s">
        <v>142</v>
      </c>
      <c r="D195" s="28"/>
      <c r="E195" s="4"/>
      <c r="G195" s="28"/>
      <c r="H195" s="4"/>
      <c r="I195" s="28"/>
      <c r="J195" s="28"/>
    </row>
    <row r="196" spans="2:10" x14ac:dyDescent="0.25">
      <c r="B196" s="33" t="str">
        <f>E172</f>
        <v>7)</v>
      </c>
      <c r="C196" s="33">
        <f>D172</f>
        <v>44202.586206896558</v>
      </c>
      <c r="D196" s="53"/>
      <c r="G196" s="26"/>
      <c r="I196" s="53"/>
    </row>
    <row r="197" spans="2:10" x14ac:dyDescent="0.25">
      <c r="B197" s="38" t="str">
        <f>E173</f>
        <v>7)</v>
      </c>
      <c r="C197" s="38">
        <f>D173</f>
        <v>54400</v>
      </c>
      <c r="D197" s="42"/>
      <c r="G197" s="26"/>
      <c r="I197" s="42"/>
    </row>
    <row r="198" spans="2:10" x14ac:dyDescent="0.25">
      <c r="B198" s="35" t="str">
        <f>E174</f>
        <v>7)</v>
      </c>
      <c r="C198" s="35">
        <f>D174</f>
        <v>33750</v>
      </c>
      <c r="D198" s="42"/>
      <c r="G198" s="26"/>
      <c r="I198" s="42"/>
    </row>
    <row r="199" spans="2:10" x14ac:dyDescent="0.25">
      <c r="D199" s="42"/>
      <c r="G199" s="26"/>
      <c r="I199" s="42"/>
    </row>
    <row r="200" spans="2:10" x14ac:dyDescent="0.25">
      <c r="D200" s="42"/>
      <c r="G200" s="26"/>
      <c r="I200" s="42"/>
    </row>
    <row r="201" spans="2:10" x14ac:dyDescent="0.25">
      <c r="D201" s="42"/>
      <c r="G201" s="26"/>
      <c r="I201" s="42"/>
    </row>
    <row r="202" spans="2:10" x14ac:dyDescent="0.25">
      <c r="B202" s="3" t="s">
        <v>146</v>
      </c>
      <c r="C202" s="2"/>
    </row>
    <row r="204" spans="2:10" x14ac:dyDescent="0.25">
      <c r="B204" s="58"/>
      <c r="C204" s="58" t="s">
        <v>177</v>
      </c>
      <c r="D204" s="57"/>
      <c r="E204" s="58"/>
      <c r="F204" s="60"/>
      <c r="G204" s="57"/>
      <c r="H204" s="58" t="s">
        <v>104</v>
      </c>
      <c r="I204" s="57"/>
      <c r="J204" s="57"/>
    </row>
    <row r="205" spans="2:10" x14ac:dyDescent="0.25">
      <c r="B205" s="39" t="str">
        <f>J205</f>
        <v>1)</v>
      </c>
      <c r="C205" s="39">
        <v>5000</v>
      </c>
      <c r="D205" s="129">
        <f>H215</f>
        <v>3000</v>
      </c>
      <c r="E205" s="59" t="str">
        <f>G215</f>
        <v>2)</v>
      </c>
      <c r="F205" s="60"/>
      <c r="G205" s="60"/>
      <c r="H205" s="59"/>
      <c r="I205" s="129">
        <f>5000*1.2</f>
        <v>6000</v>
      </c>
      <c r="J205" s="60" t="s">
        <v>2</v>
      </c>
    </row>
    <row r="206" spans="2:10" x14ac:dyDescent="0.25">
      <c r="B206" s="58" t="str">
        <f>J207</f>
        <v>4)</v>
      </c>
      <c r="C206" s="58">
        <f>I207-C217</f>
        <v>4000</v>
      </c>
      <c r="D206" s="145">
        <f>C205</f>
        <v>5000</v>
      </c>
      <c r="E206" s="61" t="s">
        <v>98</v>
      </c>
      <c r="F206" s="60"/>
      <c r="G206" s="60"/>
      <c r="H206" s="59"/>
      <c r="I206" s="130">
        <f>100000*1.19</f>
        <v>119000</v>
      </c>
      <c r="J206" s="60" t="s">
        <v>9</v>
      </c>
    </row>
    <row r="207" spans="2:10" x14ac:dyDescent="0.25">
      <c r="B207" s="59"/>
      <c r="C207" s="59">
        <f>SUM(C205:C206)</f>
        <v>9000</v>
      </c>
      <c r="D207" s="130">
        <f>SUM(D205:D206)</f>
        <v>8000</v>
      </c>
      <c r="E207" s="59"/>
      <c r="F207" s="60"/>
      <c r="G207" s="57"/>
      <c r="H207" s="58"/>
      <c r="I207" s="131">
        <v>4800</v>
      </c>
      <c r="J207" s="57" t="s">
        <v>28</v>
      </c>
    </row>
    <row r="208" spans="2:10" x14ac:dyDescent="0.25">
      <c r="B208" s="58" t="s">
        <v>178</v>
      </c>
      <c r="C208" s="58">
        <f>D205</f>
        <v>3000</v>
      </c>
      <c r="D208" s="131">
        <f>C206</f>
        <v>4000</v>
      </c>
      <c r="E208" s="58" t="s">
        <v>178</v>
      </c>
      <c r="F208" s="60"/>
      <c r="G208" s="60"/>
      <c r="H208" s="59">
        <f>SUM(0)</f>
        <v>0</v>
      </c>
      <c r="I208" s="130">
        <f>SUM(I205:I207)</f>
        <v>129800</v>
      </c>
      <c r="J208" s="60"/>
    </row>
    <row r="209" spans="2:10" ht="17.25" x14ac:dyDescent="0.4">
      <c r="B209" s="59"/>
      <c r="C209" s="62">
        <f>C207+C208</f>
        <v>12000</v>
      </c>
      <c r="D209" s="146">
        <f>D207+D208</f>
        <v>12000</v>
      </c>
      <c r="E209" s="59"/>
      <c r="F209" s="60"/>
      <c r="G209" s="60" t="s">
        <v>178</v>
      </c>
      <c r="H209" s="59">
        <f>I208-H208</f>
        <v>129800</v>
      </c>
      <c r="I209" s="130"/>
      <c r="J209" s="60"/>
    </row>
    <row r="210" spans="2:10" ht="17.25" x14ac:dyDescent="0.4">
      <c r="B210" s="59" t="s">
        <v>179</v>
      </c>
      <c r="C210" s="62"/>
      <c r="D210" s="146"/>
      <c r="E210" s="59"/>
      <c r="F210" s="60"/>
      <c r="G210" s="60"/>
      <c r="H210" s="59"/>
      <c r="I210" s="130"/>
      <c r="J210" s="60"/>
    </row>
    <row r="211" spans="2:10" ht="17.25" x14ac:dyDescent="0.4">
      <c r="B211" s="59" t="s">
        <v>180</v>
      </c>
      <c r="C211" s="62"/>
      <c r="D211" s="146"/>
      <c r="E211" s="59"/>
      <c r="F211" s="60"/>
      <c r="G211" s="60"/>
      <c r="H211" s="59"/>
      <c r="I211" s="130"/>
      <c r="J211" s="60"/>
    </row>
    <row r="212" spans="2:10" x14ac:dyDescent="0.25">
      <c r="B212" s="59"/>
      <c r="C212" s="59"/>
      <c r="D212" s="130"/>
      <c r="E212" s="59"/>
      <c r="F212" s="60"/>
      <c r="G212" s="60"/>
      <c r="H212" s="59"/>
      <c r="I212" s="130"/>
      <c r="J212" s="60"/>
    </row>
    <row r="214" spans="2:10" x14ac:dyDescent="0.25">
      <c r="B214" s="58"/>
      <c r="C214" s="58" t="s">
        <v>158</v>
      </c>
      <c r="D214" s="57"/>
      <c r="E214" s="58"/>
      <c r="F214" s="60"/>
      <c r="G214" s="57"/>
      <c r="H214" s="58" t="s">
        <v>137</v>
      </c>
      <c r="I214" s="57"/>
      <c r="J214" s="57"/>
    </row>
    <row r="215" spans="2:10" x14ac:dyDescent="0.25">
      <c r="B215" s="59" t="str">
        <f>B205</f>
        <v>1)</v>
      </c>
      <c r="C215" s="59">
        <f>I205-C205</f>
        <v>1000</v>
      </c>
      <c r="D215" s="129"/>
      <c r="E215" s="59"/>
      <c r="F215" s="60"/>
      <c r="G215" s="60" t="s">
        <v>7</v>
      </c>
      <c r="H215" s="59">
        <v>3000</v>
      </c>
      <c r="I215" s="129"/>
      <c r="J215" s="60"/>
    </row>
    <row r="216" spans="2:10" x14ac:dyDescent="0.25">
      <c r="B216" s="59" t="str">
        <f>B223</f>
        <v>3)</v>
      </c>
      <c r="C216" s="59">
        <f>I206-C223</f>
        <v>19000</v>
      </c>
      <c r="D216" s="130"/>
      <c r="E216" s="59"/>
      <c r="F216" s="60"/>
      <c r="G216" s="57" t="str">
        <f>E206</f>
        <v>5)</v>
      </c>
      <c r="H216" s="58">
        <f>D206</f>
        <v>5000</v>
      </c>
      <c r="I216" s="131"/>
      <c r="J216" s="57"/>
    </row>
    <row r="217" spans="2:10" x14ac:dyDescent="0.25">
      <c r="B217" s="58" t="str">
        <f>J207</f>
        <v>4)</v>
      </c>
      <c r="C217" s="58">
        <v>800</v>
      </c>
      <c r="D217" s="131"/>
      <c r="E217" s="58"/>
      <c r="F217" s="60"/>
      <c r="G217" s="60"/>
      <c r="H217" s="59">
        <f>SUM(H215:H216)</f>
        <v>8000</v>
      </c>
      <c r="I217" s="130">
        <f>SUM(0)</f>
        <v>0</v>
      </c>
      <c r="J217" s="60"/>
    </row>
    <row r="218" spans="2:10" x14ac:dyDescent="0.25">
      <c r="B218" s="59"/>
      <c r="C218" s="59">
        <f>SUM(C215:C217)</f>
        <v>20800</v>
      </c>
      <c r="D218" s="130">
        <f>SUM(0)</f>
        <v>0</v>
      </c>
      <c r="E218" s="59"/>
      <c r="F218" s="60"/>
      <c r="G218" s="60"/>
      <c r="H218" s="59"/>
      <c r="I218" s="130">
        <f>H217-I217</f>
        <v>8000</v>
      </c>
      <c r="J218" s="60" t="s">
        <v>178</v>
      </c>
    </row>
    <row r="219" spans="2:10" x14ac:dyDescent="0.25">
      <c r="B219" s="59"/>
      <c r="C219" s="59"/>
      <c r="D219" s="130">
        <f>C218-D218</f>
        <v>20800</v>
      </c>
      <c r="E219" s="59" t="s">
        <v>178</v>
      </c>
      <c r="F219" s="60"/>
      <c r="G219" s="60"/>
      <c r="H219" s="59"/>
      <c r="I219" s="130"/>
      <c r="J219" s="60"/>
    </row>
    <row r="220" spans="2:10" x14ac:dyDescent="0.25">
      <c r="B220" s="59"/>
      <c r="C220" s="59"/>
      <c r="D220" s="130"/>
      <c r="E220" s="59"/>
      <c r="F220" s="60"/>
      <c r="G220" s="60"/>
      <c r="H220" s="59"/>
      <c r="I220" s="130"/>
      <c r="J220" s="60"/>
    </row>
    <row r="222" spans="2:10" x14ac:dyDescent="0.25">
      <c r="B222" s="58"/>
      <c r="C222" s="58" t="s">
        <v>114</v>
      </c>
      <c r="D222" s="57"/>
      <c r="E222" s="58"/>
      <c r="F222" s="60"/>
      <c r="G222" s="57"/>
      <c r="H222" s="58"/>
      <c r="I222" s="57"/>
      <c r="J222" s="57"/>
    </row>
    <row r="223" spans="2:10" x14ac:dyDescent="0.25">
      <c r="B223" s="58" t="str">
        <f>J206</f>
        <v>3)</v>
      </c>
      <c r="C223" s="58">
        <v>100000</v>
      </c>
      <c r="D223" s="131"/>
      <c r="E223" s="58"/>
      <c r="F223" s="60"/>
      <c r="G223" s="60"/>
      <c r="H223" s="59"/>
      <c r="I223" s="129"/>
      <c r="J223" s="60"/>
    </row>
    <row r="224" spans="2:10" x14ac:dyDescent="0.25">
      <c r="B224" s="59"/>
      <c r="C224" s="59">
        <f>SUM(C223)</f>
        <v>100000</v>
      </c>
      <c r="D224" s="130">
        <f>SUM(D223)</f>
        <v>0</v>
      </c>
      <c r="E224" s="59"/>
      <c r="F224" s="60"/>
      <c r="G224" s="60"/>
      <c r="H224" s="59"/>
      <c r="I224" s="130"/>
      <c r="J224" s="60"/>
    </row>
    <row r="225" spans="2:11" x14ac:dyDescent="0.25">
      <c r="B225" s="59"/>
      <c r="C225" s="59"/>
      <c r="D225" s="130">
        <f>C224-D224</f>
        <v>100000</v>
      </c>
      <c r="E225" s="59" t="s">
        <v>178</v>
      </c>
      <c r="F225" s="60"/>
      <c r="G225" s="60"/>
      <c r="H225" s="59"/>
      <c r="I225" s="130"/>
      <c r="J225" s="60"/>
    </row>
    <row r="226" spans="2:11" x14ac:dyDescent="0.25">
      <c r="B226" s="59"/>
      <c r="C226" s="59"/>
      <c r="D226" s="130"/>
      <c r="E226" s="59"/>
      <c r="F226" s="60"/>
      <c r="G226" s="60"/>
      <c r="H226" s="59"/>
      <c r="I226" s="130"/>
      <c r="J226" s="60"/>
    </row>
    <row r="227" spans="2:11" x14ac:dyDescent="0.25">
      <c r="B227" s="59"/>
      <c r="C227" s="59"/>
      <c r="D227" s="130"/>
      <c r="E227" s="59"/>
      <c r="F227" s="60"/>
      <c r="G227" s="60"/>
      <c r="H227" s="59"/>
      <c r="I227" s="130"/>
      <c r="J227" s="60"/>
    </row>
    <row r="228" spans="2:11" x14ac:dyDescent="0.25">
      <c r="B228" s="178" t="s">
        <v>12</v>
      </c>
      <c r="C228" s="179"/>
      <c r="D228" s="179"/>
      <c r="E228" s="179"/>
      <c r="F228" s="179"/>
      <c r="G228" s="179"/>
      <c r="H228" s="179"/>
      <c r="I228" s="179"/>
      <c r="J228" s="179"/>
      <c r="K228" s="13"/>
    </row>
    <row r="229" spans="2:11" x14ac:dyDescent="0.25">
      <c r="B229" s="178" t="s">
        <v>14</v>
      </c>
      <c r="C229" s="179"/>
      <c r="D229" s="179"/>
      <c r="E229" s="179"/>
      <c r="F229" s="179"/>
      <c r="G229" s="179" t="s">
        <v>15</v>
      </c>
      <c r="H229" s="179"/>
      <c r="I229" s="179"/>
      <c r="J229" s="179"/>
      <c r="K229" s="13"/>
    </row>
    <row r="230" spans="2:11" x14ac:dyDescent="0.25">
      <c r="B230" s="6"/>
      <c r="C230" s="14" t="s">
        <v>167</v>
      </c>
      <c r="D230" s="30"/>
      <c r="E230" s="14"/>
      <c r="F230" s="30"/>
      <c r="G230" s="14"/>
      <c r="H230" s="14"/>
      <c r="I230" s="30"/>
      <c r="J230" s="30"/>
      <c r="K230" s="15"/>
    </row>
    <row r="231" spans="2:11" x14ac:dyDescent="0.25">
      <c r="B231" s="6"/>
      <c r="C231" s="14" t="str">
        <f>C222</f>
        <v>Środki trwałe w budowie</v>
      </c>
      <c r="D231" s="30"/>
      <c r="E231" s="14"/>
      <c r="F231" s="30">
        <f>D225</f>
        <v>100000</v>
      </c>
      <c r="G231" s="14"/>
      <c r="H231" s="14" t="s">
        <v>16</v>
      </c>
      <c r="I231" s="30"/>
      <c r="J231" s="30"/>
      <c r="K231" s="15">
        <v>0</v>
      </c>
    </row>
    <row r="232" spans="2:11" x14ac:dyDescent="0.25">
      <c r="B232" s="6"/>
      <c r="C232" s="14" t="s">
        <v>154</v>
      </c>
      <c r="D232" s="30"/>
      <c r="E232" s="14"/>
      <c r="F232" s="30"/>
      <c r="G232" s="14"/>
      <c r="H232" s="14" t="s">
        <v>181</v>
      </c>
      <c r="I232" s="30"/>
      <c r="J232" s="30"/>
      <c r="K232" s="15">
        <v>0</v>
      </c>
    </row>
    <row r="233" spans="2:11" x14ac:dyDescent="0.25">
      <c r="B233" s="6"/>
      <c r="C233" s="14" t="str">
        <f>H214</f>
        <v>Towary</v>
      </c>
      <c r="D233" s="30"/>
      <c r="E233" s="14"/>
      <c r="F233" s="30">
        <f>I218</f>
        <v>8000</v>
      </c>
      <c r="G233" s="14"/>
      <c r="H233" s="14" t="s">
        <v>34</v>
      </c>
      <c r="I233" s="30"/>
      <c r="J233" s="30"/>
      <c r="K233" s="15"/>
    </row>
    <row r="234" spans="2:11" x14ac:dyDescent="0.25">
      <c r="B234" s="6"/>
      <c r="C234" s="14" t="s">
        <v>151</v>
      </c>
      <c r="D234" s="30"/>
      <c r="E234" s="14"/>
      <c r="F234" s="30">
        <f>D208</f>
        <v>4000</v>
      </c>
      <c r="G234" s="14"/>
      <c r="H234" s="14" t="str">
        <f>H204</f>
        <v>Zobowiązania wobec kontrahentów</v>
      </c>
      <c r="I234" s="30"/>
      <c r="J234" s="30"/>
      <c r="K234" s="15">
        <f>H209</f>
        <v>129800</v>
      </c>
    </row>
    <row r="235" spans="2:11" x14ac:dyDescent="0.25">
      <c r="B235" s="6"/>
      <c r="C235" s="14" t="str">
        <f>C214</f>
        <v>VAT naliczony</v>
      </c>
      <c r="D235" s="30"/>
      <c r="E235" s="14"/>
      <c r="F235" s="30">
        <f>D219</f>
        <v>20800</v>
      </c>
      <c r="G235" s="14"/>
      <c r="H235" s="14" t="s">
        <v>152</v>
      </c>
      <c r="I235" s="30"/>
      <c r="J235" s="30"/>
      <c r="K235" s="15">
        <f>C208</f>
        <v>3000</v>
      </c>
    </row>
    <row r="236" spans="2:11" x14ac:dyDescent="0.25">
      <c r="B236" s="9"/>
      <c r="C236" s="4"/>
      <c r="D236" s="28"/>
      <c r="E236" s="4"/>
      <c r="F236" s="28"/>
      <c r="G236" s="4"/>
      <c r="H236" s="4"/>
      <c r="I236" s="28"/>
      <c r="J236" s="28"/>
      <c r="K236" s="16"/>
    </row>
    <row r="237" spans="2:11" x14ac:dyDescent="0.25">
      <c r="B237" s="22" t="s">
        <v>42</v>
      </c>
      <c r="C237" s="23"/>
      <c r="D237" s="45"/>
      <c r="E237" s="23"/>
      <c r="F237" s="45">
        <f>SUM(F231:F235)</f>
        <v>132800</v>
      </c>
      <c r="G237" s="23" t="s">
        <v>42</v>
      </c>
      <c r="H237" s="23"/>
      <c r="I237" s="28"/>
      <c r="J237" s="28"/>
      <c r="K237" s="24">
        <f>SUM(K234:K236)</f>
        <v>132800</v>
      </c>
    </row>
    <row r="238" spans="2:11" x14ac:dyDescent="0.25">
      <c r="B238" s="59"/>
      <c r="C238" s="59"/>
      <c r="D238" s="130"/>
      <c r="E238" s="59"/>
      <c r="F238" s="60"/>
      <c r="G238" s="60"/>
      <c r="H238" s="59"/>
      <c r="I238" s="130"/>
      <c r="J238" s="60"/>
    </row>
    <row r="239" spans="2:11" x14ac:dyDescent="0.25">
      <c r="B239" s="3" t="s">
        <v>182</v>
      </c>
      <c r="C239" s="2"/>
      <c r="H239" s="1" t="s">
        <v>212</v>
      </c>
    </row>
    <row r="240" spans="2:11" x14ac:dyDescent="0.25">
      <c r="H240" s="1" t="s">
        <v>211</v>
      </c>
    </row>
    <row r="241" spans="2:10" x14ac:dyDescent="0.25">
      <c r="B241" s="4"/>
      <c r="C241" s="4" t="s">
        <v>139</v>
      </c>
      <c r="D241" s="28"/>
      <c r="E241" s="4"/>
      <c r="G241" s="28"/>
      <c r="H241" s="4" t="s">
        <v>210</v>
      </c>
      <c r="I241" s="28"/>
      <c r="J241" s="28"/>
    </row>
    <row r="242" spans="2:10" x14ac:dyDescent="0.25">
      <c r="B242" s="1" t="s">
        <v>2</v>
      </c>
      <c r="C242" s="1">
        <v>100000</v>
      </c>
      <c r="D242" s="53">
        <f>C242</f>
        <v>100000</v>
      </c>
      <c r="E242" s="1" t="s">
        <v>9</v>
      </c>
      <c r="G242" s="26"/>
      <c r="I242" s="53">
        <f>C242</f>
        <v>100000</v>
      </c>
      <c r="J242" s="26" t="str">
        <f>B242</f>
        <v>1)</v>
      </c>
    </row>
    <row r="243" spans="2:10" x14ac:dyDescent="0.25">
      <c r="B243" s="1" t="s">
        <v>7</v>
      </c>
      <c r="C243" s="35">
        <v>200000</v>
      </c>
      <c r="D243" s="147">
        <v>200000</v>
      </c>
      <c r="E243" s="69" t="s">
        <v>214</v>
      </c>
      <c r="G243" s="26"/>
      <c r="I243" s="42">
        <f>C243</f>
        <v>200000</v>
      </c>
      <c r="J243" s="26" t="str">
        <f>B243</f>
        <v>2)</v>
      </c>
    </row>
    <row r="244" spans="2:10" x14ac:dyDescent="0.25">
      <c r="D244" s="42"/>
      <c r="G244" s="26"/>
      <c r="I244" s="42"/>
    </row>
    <row r="245" spans="2:10" x14ac:dyDescent="0.25">
      <c r="D245" s="42"/>
      <c r="G245" s="26"/>
      <c r="I245" s="42"/>
    </row>
    <row r="246" spans="2:10" x14ac:dyDescent="0.25">
      <c r="D246" s="42"/>
      <c r="G246" s="26"/>
      <c r="I246" s="42"/>
    </row>
    <row r="247" spans="2:10" x14ac:dyDescent="0.25">
      <c r="D247" s="42"/>
      <c r="G247" s="26"/>
      <c r="I247" s="42"/>
    </row>
    <row r="249" spans="2:10" x14ac:dyDescent="0.25">
      <c r="B249" s="4"/>
      <c r="C249" s="4" t="s">
        <v>137</v>
      </c>
      <c r="D249" s="28"/>
      <c r="E249" s="4"/>
      <c r="G249" s="28"/>
      <c r="H249" s="4" t="s">
        <v>142</v>
      </c>
      <c r="I249" s="28"/>
      <c r="J249" s="28"/>
    </row>
    <row r="250" spans="2:10" x14ac:dyDescent="0.25">
      <c r="B250" s="1" t="s">
        <v>213</v>
      </c>
      <c r="C250" s="1" t="s">
        <v>100</v>
      </c>
      <c r="D250" s="53">
        <f>I242*(1-0.4)</f>
        <v>60000</v>
      </c>
      <c r="E250" s="1" t="s">
        <v>185</v>
      </c>
      <c r="G250" s="26" t="str">
        <f>E250</f>
        <v>1a)</v>
      </c>
      <c r="H250" s="1">
        <f>D250</f>
        <v>60000</v>
      </c>
      <c r="I250" s="53"/>
    </row>
    <row r="251" spans="2:10" x14ac:dyDescent="0.25">
      <c r="D251" s="42" t="s">
        <v>200</v>
      </c>
      <c r="G251" s="26" t="str">
        <f>E252</f>
        <v>2a)</v>
      </c>
      <c r="H251" s="1">
        <f>D252</f>
        <v>120000</v>
      </c>
      <c r="I251" s="42"/>
    </row>
    <row r="252" spans="2:10" x14ac:dyDescent="0.25">
      <c r="D252" s="42">
        <f>I243*(1-0.4)</f>
        <v>120000</v>
      </c>
      <c r="E252" s="1" t="s">
        <v>190</v>
      </c>
      <c r="G252" s="26"/>
      <c r="I252" s="42"/>
    </row>
    <row r="253" spans="2:10" x14ac:dyDescent="0.25">
      <c r="D253" s="42"/>
      <c r="G253" s="26"/>
      <c r="I253" s="42"/>
    </row>
    <row r="254" spans="2:10" x14ac:dyDescent="0.25">
      <c r="D254" s="42"/>
      <c r="G254" s="26"/>
      <c r="I254" s="42"/>
    </row>
    <row r="255" spans="2:10" x14ac:dyDescent="0.25">
      <c r="D255" s="42"/>
      <c r="G255" s="26"/>
      <c r="I255" s="42"/>
    </row>
    <row r="257" spans="2:10" x14ac:dyDescent="0.25">
      <c r="B257" s="4"/>
      <c r="C257" s="4" t="s">
        <v>6</v>
      </c>
      <c r="D257" s="28"/>
      <c r="E257" s="4"/>
      <c r="G257" s="28"/>
      <c r="H257" s="4" t="s">
        <v>26</v>
      </c>
      <c r="I257" s="28"/>
      <c r="J257" s="28"/>
    </row>
    <row r="258" spans="2:10" x14ac:dyDescent="0.25">
      <c r="B258" s="1" t="s">
        <v>28</v>
      </c>
      <c r="C258" s="1">
        <f>D266</f>
        <v>90000</v>
      </c>
      <c r="D258" s="53">
        <f>C259</f>
        <v>100000</v>
      </c>
      <c r="E258" s="1" t="s">
        <v>113</v>
      </c>
      <c r="G258" s="26" t="str">
        <f>B266</f>
        <v>3)</v>
      </c>
      <c r="H258" s="1">
        <f>D242-C266</f>
        <v>10000</v>
      </c>
      <c r="I258" s="53"/>
    </row>
    <row r="259" spans="2:10" x14ac:dyDescent="0.25">
      <c r="B259" s="1" t="s">
        <v>98</v>
      </c>
      <c r="C259" s="1">
        <f>D242</f>
        <v>100000</v>
      </c>
      <c r="D259" s="148">
        <f>C261</f>
        <v>200000</v>
      </c>
      <c r="E259" s="2" t="str">
        <f>B261</f>
        <v>8)</v>
      </c>
      <c r="G259" s="26" t="str">
        <f>B260</f>
        <v>7)</v>
      </c>
      <c r="H259" s="1">
        <f>C243*0.05</f>
        <v>10000</v>
      </c>
      <c r="I259" s="42"/>
    </row>
    <row r="260" spans="2:10" x14ac:dyDescent="0.25">
      <c r="B260" s="1" t="s">
        <v>144</v>
      </c>
      <c r="C260" s="1">
        <f>C243*0.95</f>
        <v>190000</v>
      </c>
      <c r="D260" s="42"/>
      <c r="G260" s="26"/>
      <c r="I260" s="42"/>
    </row>
    <row r="261" spans="2:10" x14ac:dyDescent="0.25">
      <c r="B261" s="69" t="str">
        <f>E243</f>
        <v>8)</v>
      </c>
      <c r="C261" s="69">
        <f>D243</f>
        <v>200000</v>
      </c>
      <c r="D261" s="42"/>
      <c r="G261" s="26"/>
      <c r="I261" s="42"/>
    </row>
    <row r="262" spans="2:10" x14ac:dyDescent="0.25">
      <c r="D262" s="42"/>
      <c r="G262" s="26"/>
      <c r="I262" s="42"/>
    </row>
    <row r="263" spans="2:10" x14ac:dyDescent="0.25">
      <c r="D263" s="42"/>
      <c r="G263" s="26"/>
      <c r="I263" s="42"/>
    </row>
    <row r="265" spans="2:10" x14ac:dyDescent="0.25">
      <c r="B265" s="4"/>
      <c r="C265" s="4" t="s">
        <v>192</v>
      </c>
      <c r="D265" s="28"/>
      <c r="E265" s="4"/>
      <c r="G265" s="28"/>
      <c r="H265" s="4"/>
      <c r="I265" s="28"/>
      <c r="J265" s="28"/>
    </row>
    <row r="266" spans="2:10" x14ac:dyDescent="0.25">
      <c r="B266" s="1" t="str">
        <f>E242</f>
        <v>3)</v>
      </c>
      <c r="C266" s="1">
        <f>D242*(1-0.1)</f>
        <v>90000</v>
      </c>
      <c r="D266" s="53">
        <f>C266</f>
        <v>90000</v>
      </c>
      <c r="E266" s="1" t="s">
        <v>28</v>
      </c>
      <c r="G266" s="26"/>
      <c r="I266" s="53"/>
    </row>
    <row r="267" spans="2:10" x14ac:dyDescent="0.25">
      <c r="B267" s="1" t="str">
        <f>E258</f>
        <v>6)</v>
      </c>
      <c r="C267" s="1">
        <f>D258</f>
        <v>100000</v>
      </c>
      <c r="D267" s="42">
        <f>C259</f>
        <v>100000</v>
      </c>
      <c r="E267" s="1" t="str">
        <f>B259</f>
        <v>5)</v>
      </c>
      <c r="G267" s="26"/>
      <c r="I267" s="42"/>
    </row>
    <row r="268" spans="2:10" x14ac:dyDescent="0.25">
      <c r="B268" s="2" t="str">
        <f>E259</f>
        <v>8)</v>
      </c>
      <c r="C268" s="2">
        <f>D259</f>
        <v>200000</v>
      </c>
      <c r="D268" s="42">
        <f>C260+H259</f>
        <v>200000</v>
      </c>
      <c r="E268" s="1" t="s">
        <v>144</v>
      </c>
      <c r="G268" s="26"/>
      <c r="I268" s="42"/>
    </row>
    <row r="269" spans="2:10" x14ac:dyDescent="0.25">
      <c r="D269" s="42"/>
      <c r="G269" s="26"/>
      <c r="I269" s="42"/>
    </row>
    <row r="270" spans="2:10" x14ac:dyDescent="0.25">
      <c r="D270" s="42"/>
      <c r="G270" s="26"/>
      <c r="I270" s="42"/>
    </row>
    <row r="271" spans="2:10" x14ac:dyDescent="0.25">
      <c r="B271" s="3" t="s">
        <v>216</v>
      </c>
      <c r="C271" s="2"/>
      <c r="D271" s="42"/>
      <c r="F271" s="26">
        <f>D274+D282</f>
        <v>7602</v>
      </c>
      <c r="G271" s="26"/>
      <c r="I271" s="42"/>
    </row>
    <row r="272" spans="2:10" x14ac:dyDescent="0.25">
      <c r="F272" s="26">
        <f>H275</f>
        <v>7980</v>
      </c>
    </row>
    <row r="273" spans="2:10" x14ac:dyDescent="0.25">
      <c r="B273" s="4"/>
      <c r="C273" s="4" t="s">
        <v>227</v>
      </c>
      <c r="D273" s="28"/>
      <c r="E273" s="4"/>
      <c r="F273" s="26">
        <f>F272-F271</f>
        <v>378</v>
      </c>
      <c r="G273" s="28"/>
      <c r="H273" s="4" t="s">
        <v>6</v>
      </c>
      <c r="I273" s="28"/>
      <c r="J273" s="28"/>
    </row>
    <row r="274" spans="2:10" x14ac:dyDescent="0.25">
      <c r="B274" s="1" t="s">
        <v>2</v>
      </c>
      <c r="C274" s="1">
        <f>2000*4</f>
        <v>8000</v>
      </c>
      <c r="D274" s="135">
        <f>(1900-20)*4</f>
        <v>7520</v>
      </c>
      <c r="E274" s="38" t="s">
        <v>9</v>
      </c>
      <c r="G274" s="26" t="s">
        <v>101</v>
      </c>
      <c r="H274" s="1">
        <v>8000</v>
      </c>
      <c r="I274" s="53">
        <f>C274</f>
        <v>8000</v>
      </c>
      <c r="J274" s="26" t="str">
        <f>B274</f>
        <v>1)</v>
      </c>
    </row>
    <row r="275" spans="2:10" x14ac:dyDescent="0.25">
      <c r="B275" s="1" t="str">
        <f>E275</f>
        <v>3*)</v>
      </c>
      <c r="C275" s="35">
        <f>1880*(4.2-4)</f>
        <v>376.00000000000034</v>
      </c>
      <c r="D275" s="133">
        <f>1880*4.2</f>
        <v>7896</v>
      </c>
      <c r="E275" s="1" t="s">
        <v>218</v>
      </c>
      <c r="G275" s="50" t="s">
        <v>9</v>
      </c>
      <c r="H275" s="38">
        <f>1900*4.2</f>
        <v>7980</v>
      </c>
      <c r="I275" s="42"/>
    </row>
    <row r="276" spans="2:10" x14ac:dyDescent="0.25">
      <c r="D276" s="42"/>
      <c r="G276" s="51" t="str">
        <f>E275</f>
        <v>3*)</v>
      </c>
      <c r="H276" s="35">
        <f>D275+D283</f>
        <v>7980</v>
      </c>
      <c r="I276" s="42"/>
    </row>
    <row r="277" spans="2:10" x14ac:dyDescent="0.25">
      <c r="D277" s="42"/>
      <c r="G277" s="26" t="str">
        <f>E290</f>
        <v>4)</v>
      </c>
      <c r="H277" s="1">
        <f>D290</f>
        <v>12150</v>
      </c>
      <c r="I277" s="42"/>
    </row>
    <row r="278" spans="2:10" x14ac:dyDescent="0.25">
      <c r="D278" s="42"/>
      <c r="G278" s="26"/>
      <c r="I278" s="42"/>
    </row>
    <row r="279" spans="2:10" x14ac:dyDescent="0.25">
      <c r="D279" s="42"/>
      <c r="G279" s="26"/>
      <c r="I279" s="42"/>
    </row>
    <row r="281" spans="2:10" x14ac:dyDescent="0.25">
      <c r="B281" s="4"/>
      <c r="C281" s="4" t="s">
        <v>228</v>
      </c>
      <c r="D281" s="28"/>
      <c r="E281" s="4"/>
      <c r="G281" s="28"/>
      <c r="H281" s="4" t="s">
        <v>217</v>
      </c>
      <c r="I281" s="28"/>
      <c r="J281" s="28"/>
    </row>
    <row r="282" spans="2:10" x14ac:dyDescent="0.25">
      <c r="B282" s="1" t="s">
        <v>7</v>
      </c>
      <c r="C282" s="1">
        <f>20*4.1</f>
        <v>82</v>
      </c>
      <c r="D282" s="135">
        <f>C282</f>
        <v>82</v>
      </c>
      <c r="E282" s="38" t="str">
        <f>E274</f>
        <v>3)</v>
      </c>
      <c r="G282" s="26"/>
      <c r="I282" s="53">
        <f>C282</f>
        <v>82</v>
      </c>
      <c r="J282" s="26" t="str">
        <f>B282</f>
        <v>2)</v>
      </c>
    </row>
    <row r="283" spans="2:10" x14ac:dyDescent="0.25">
      <c r="B283" s="1" t="str">
        <f>E283</f>
        <v>3*)</v>
      </c>
      <c r="C283" s="35">
        <f>20*(4.2-4.1)</f>
        <v>2.0000000000000107</v>
      </c>
      <c r="D283" s="133">
        <f>20*4.2</f>
        <v>84</v>
      </c>
      <c r="E283" s="1" t="s">
        <v>218</v>
      </c>
      <c r="G283" s="26"/>
      <c r="I283" s="132">
        <f>F273</f>
        <v>378</v>
      </c>
      <c r="J283" s="50" t="str">
        <f>G275</f>
        <v>3)</v>
      </c>
    </row>
    <row r="284" spans="2:10" x14ac:dyDescent="0.25">
      <c r="D284" s="42"/>
      <c r="G284" s="26"/>
      <c r="I284" s="133">
        <f>C275+C283</f>
        <v>378.00000000000034</v>
      </c>
      <c r="J284" s="26" t="str">
        <f>E275</f>
        <v>3*)</v>
      </c>
    </row>
    <row r="285" spans="2:10" x14ac:dyDescent="0.25">
      <c r="D285" s="42"/>
      <c r="G285" s="26"/>
      <c r="I285" s="42"/>
    </row>
    <row r="286" spans="2:10" x14ac:dyDescent="0.25">
      <c r="D286" s="42"/>
      <c r="G286" s="26"/>
      <c r="I286" s="42"/>
    </row>
    <row r="287" spans="2:10" x14ac:dyDescent="0.25">
      <c r="D287" s="42"/>
      <c r="G287" s="26"/>
      <c r="I287" s="42"/>
    </row>
    <row r="289" spans="2:10" x14ac:dyDescent="0.25">
      <c r="B289" s="4"/>
      <c r="C289" s="4" t="s">
        <v>219</v>
      </c>
      <c r="D289" s="28"/>
      <c r="E289" s="4"/>
      <c r="G289" s="28"/>
      <c r="H289" s="4" t="s">
        <v>229</v>
      </c>
      <c r="I289" s="28"/>
      <c r="J289" s="28"/>
    </row>
    <row r="290" spans="2:10" x14ac:dyDescent="0.25">
      <c r="D290" s="53">
        <f>3000*4.05</f>
        <v>12150</v>
      </c>
      <c r="E290" s="1" t="s">
        <v>28</v>
      </c>
      <c r="G290" s="26" t="s">
        <v>113</v>
      </c>
      <c r="H290" s="1">
        <f>I290</f>
        <v>20.75</v>
      </c>
      <c r="I290" s="53">
        <f>5*4.15</f>
        <v>20.75</v>
      </c>
      <c r="J290" s="26" t="s">
        <v>98</v>
      </c>
    </row>
    <row r="291" spans="2:10" x14ac:dyDescent="0.25">
      <c r="D291" s="42">
        <f>H290</f>
        <v>20.75</v>
      </c>
      <c r="E291" s="1" t="str">
        <f>G290</f>
        <v>6)</v>
      </c>
      <c r="G291" s="26"/>
      <c r="I291" s="42"/>
    </row>
    <row r="292" spans="2:10" x14ac:dyDescent="0.25">
      <c r="D292" s="42"/>
      <c r="G292" s="26"/>
      <c r="I292" s="42"/>
    </row>
    <row r="293" spans="2:10" x14ac:dyDescent="0.25">
      <c r="D293" s="42"/>
      <c r="G293" s="26"/>
      <c r="I293" s="42"/>
    </row>
    <row r="294" spans="2:10" x14ac:dyDescent="0.25">
      <c r="D294" s="42"/>
      <c r="G294" s="26"/>
      <c r="I294" s="42"/>
    </row>
    <row r="295" spans="2:10" x14ac:dyDescent="0.25">
      <c r="D295" s="42"/>
      <c r="G295" s="26"/>
      <c r="I295" s="42"/>
    </row>
    <row r="297" spans="2:10" x14ac:dyDescent="0.25">
      <c r="B297" s="4"/>
      <c r="C297" s="4" t="s">
        <v>26</v>
      </c>
      <c r="D297" s="28"/>
      <c r="E297" s="4"/>
      <c r="G297" s="28"/>
      <c r="H297" s="4"/>
      <c r="I297" s="28"/>
      <c r="J297" s="28"/>
    </row>
    <row r="298" spans="2:10" x14ac:dyDescent="0.25">
      <c r="B298" s="1" t="str">
        <f>J290</f>
        <v>5)</v>
      </c>
      <c r="C298" s="1">
        <f>I290</f>
        <v>20.75</v>
      </c>
      <c r="D298" s="53"/>
      <c r="G298" s="26"/>
      <c r="I298" s="53"/>
    </row>
    <row r="299" spans="2:10" x14ac:dyDescent="0.25">
      <c r="D299" s="42"/>
      <c r="G299" s="26"/>
      <c r="I299" s="42"/>
    </row>
    <row r="300" spans="2:10" x14ac:dyDescent="0.25">
      <c r="D300" s="42"/>
      <c r="G300" s="26"/>
      <c r="I300" s="42"/>
    </row>
    <row r="301" spans="2:10" x14ac:dyDescent="0.25">
      <c r="D301" s="42"/>
      <c r="G301" s="26"/>
      <c r="I301" s="42"/>
    </row>
    <row r="302" spans="2:10" x14ac:dyDescent="0.25">
      <c r="D302" s="42"/>
      <c r="G302" s="26"/>
      <c r="I302" s="42"/>
    </row>
    <row r="303" spans="2:10" x14ac:dyDescent="0.25">
      <c r="B303" s="3" t="s">
        <v>220</v>
      </c>
      <c r="C303" s="2"/>
      <c r="D303" s="42"/>
      <c r="G303" s="26"/>
      <c r="I303" s="42"/>
    </row>
    <row r="305" spans="2:10" x14ac:dyDescent="0.25">
      <c r="B305" s="4"/>
      <c r="C305" s="4" t="s">
        <v>137</v>
      </c>
      <c r="D305" s="28"/>
      <c r="E305" s="4"/>
      <c r="G305" s="28"/>
      <c r="H305" s="4" t="s">
        <v>96</v>
      </c>
      <c r="I305" s="28"/>
      <c r="J305" s="28"/>
    </row>
    <row r="306" spans="2:10" x14ac:dyDescent="0.25">
      <c r="B306" s="1" t="s">
        <v>2</v>
      </c>
      <c r="C306" s="1">
        <v>5000</v>
      </c>
      <c r="D306" s="53">
        <v>5000</v>
      </c>
      <c r="E306" s="1" t="s">
        <v>28</v>
      </c>
      <c r="G306" s="26" t="str">
        <f>J314</f>
        <v>2)</v>
      </c>
      <c r="H306" s="1">
        <f>I306</f>
        <v>6150</v>
      </c>
      <c r="I306" s="53">
        <f>C306*1.23</f>
        <v>6150</v>
      </c>
      <c r="J306" s="26" t="str">
        <f>B306</f>
        <v>1)</v>
      </c>
    </row>
    <row r="307" spans="2:10" x14ac:dyDescent="0.25">
      <c r="B307" s="1" t="s">
        <v>113</v>
      </c>
      <c r="C307" s="1">
        <v>6000</v>
      </c>
      <c r="D307" s="42"/>
      <c r="G307" s="26" t="s">
        <v>144</v>
      </c>
      <c r="H307" s="1">
        <f>I307</f>
        <v>7380</v>
      </c>
      <c r="I307" s="42">
        <f>C307*1.23</f>
        <v>7380</v>
      </c>
      <c r="J307" s="26" t="str">
        <f>B307</f>
        <v>6)</v>
      </c>
    </row>
    <row r="308" spans="2:10" x14ac:dyDescent="0.25">
      <c r="D308" s="42"/>
      <c r="G308" s="26"/>
      <c r="I308" s="42"/>
    </row>
    <row r="309" spans="2:10" x14ac:dyDescent="0.25">
      <c r="D309" s="42"/>
      <c r="G309" s="26"/>
      <c r="I309" s="42"/>
    </row>
    <row r="310" spans="2:10" x14ac:dyDescent="0.25">
      <c r="D310" s="42"/>
      <c r="G310" s="26"/>
      <c r="I310" s="42"/>
    </row>
    <row r="311" spans="2:10" x14ac:dyDescent="0.25">
      <c r="D311" s="42"/>
      <c r="G311" s="26"/>
      <c r="I311" s="42"/>
    </row>
    <row r="313" spans="2:10" x14ac:dyDescent="0.25">
      <c r="B313" s="4"/>
      <c r="C313" s="4" t="s">
        <v>158</v>
      </c>
      <c r="D313" s="28"/>
      <c r="E313" s="4"/>
      <c r="G313" s="28"/>
      <c r="H313" s="4" t="s">
        <v>233</v>
      </c>
      <c r="I313" s="28"/>
      <c r="J313" s="28"/>
    </row>
    <row r="314" spans="2:10" x14ac:dyDescent="0.25">
      <c r="B314" s="1" t="str">
        <f>B306</f>
        <v>1)</v>
      </c>
      <c r="C314" s="1">
        <f>I306-C306</f>
        <v>1150</v>
      </c>
      <c r="D314" s="53"/>
      <c r="G314" s="26"/>
      <c r="I314" s="53">
        <v>6500</v>
      </c>
      <c r="J314" s="26" t="s">
        <v>7</v>
      </c>
    </row>
    <row r="315" spans="2:10" x14ac:dyDescent="0.25">
      <c r="B315" s="1" t="str">
        <f>B307</f>
        <v>6)</v>
      </c>
      <c r="C315" s="1">
        <f>I307-C307</f>
        <v>1380</v>
      </c>
      <c r="D315" s="42"/>
      <c r="G315" s="26"/>
      <c r="I315" s="42"/>
    </row>
    <row r="316" spans="2:10" x14ac:dyDescent="0.25">
      <c r="D316" s="42"/>
      <c r="G316" s="26"/>
      <c r="I316" s="42"/>
    </row>
    <row r="317" spans="2:10" x14ac:dyDescent="0.25">
      <c r="D317" s="42"/>
      <c r="G317" s="26"/>
      <c r="I317" s="42"/>
    </row>
    <row r="318" spans="2:10" x14ac:dyDescent="0.25">
      <c r="D318" s="42"/>
      <c r="G318" s="26"/>
      <c r="I318" s="42"/>
    </row>
    <row r="319" spans="2:10" x14ac:dyDescent="0.25">
      <c r="D319" s="42"/>
      <c r="G319" s="26"/>
      <c r="I319" s="42"/>
    </row>
    <row r="321" spans="2:10" x14ac:dyDescent="0.25">
      <c r="B321" s="4"/>
      <c r="C321" s="4" t="s">
        <v>26</v>
      </c>
      <c r="D321" s="28"/>
      <c r="E321" s="4"/>
      <c r="G321" s="28"/>
      <c r="H321" s="4" t="s">
        <v>139</v>
      </c>
      <c r="I321" s="28"/>
      <c r="J321" s="28"/>
    </row>
    <row r="322" spans="2:10" x14ac:dyDescent="0.25">
      <c r="B322" s="1" t="str">
        <f>J314</f>
        <v>2)</v>
      </c>
      <c r="C322" s="1">
        <f>I314-H306</f>
        <v>350</v>
      </c>
      <c r="D322" s="53"/>
      <c r="G322" s="26" t="s">
        <v>9</v>
      </c>
      <c r="H322" s="1">
        <f>7000*1.23</f>
        <v>8610</v>
      </c>
      <c r="I322" s="53">
        <f>H322</f>
        <v>8610</v>
      </c>
      <c r="J322" s="26" t="str">
        <f>G338</f>
        <v>5)</v>
      </c>
    </row>
    <row r="323" spans="2:10" x14ac:dyDescent="0.25">
      <c r="B323" s="1" t="str">
        <f>G307</f>
        <v>7)</v>
      </c>
      <c r="C323" s="1">
        <f>I338-H307</f>
        <v>1620</v>
      </c>
      <c r="D323" s="42"/>
      <c r="G323" s="26"/>
      <c r="I323" s="42"/>
    </row>
    <row r="324" spans="2:10" x14ac:dyDescent="0.25">
      <c r="D324" s="42"/>
      <c r="G324" s="26"/>
      <c r="I324" s="42"/>
    </row>
    <row r="325" spans="2:10" x14ac:dyDescent="0.25">
      <c r="D325" s="42"/>
      <c r="G325" s="26"/>
      <c r="I325" s="42"/>
    </row>
    <row r="326" spans="2:10" x14ac:dyDescent="0.25">
      <c r="D326" s="42"/>
      <c r="G326" s="26"/>
      <c r="I326" s="42"/>
    </row>
    <row r="327" spans="2:10" x14ac:dyDescent="0.25">
      <c r="D327" s="42"/>
      <c r="G327" s="26"/>
      <c r="I327" s="42"/>
    </row>
    <row r="329" spans="2:10" x14ac:dyDescent="0.25">
      <c r="B329" s="4"/>
      <c r="C329" s="4" t="s">
        <v>234</v>
      </c>
      <c r="D329" s="28"/>
      <c r="E329" s="4"/>
      <c r="G329" s="28"/>
      <c r="H329" s="4" t="s">
        <v>141</v>
      </c>
      <c r="I329" s="28"/>
      <c r="J329" s="28"/>
    </row>
    <row r="330" spans="2:10" x14ac:dyDescent="0.25">
      <c r="D330" s="53">
        <v>7000</v>
      </c>
      <c r="E330" s="1" t="str">
        <f>G322</f>
        <v>3)</v>
      </c>
      <c r="G330" s="26"/>
      <c r="I330" s="53">
        <f>H322-D330</f>
        <v>1610</v>
      </c>
      <c r="J330" s="26" t="str">
        <f>E330</f>
        <v>3)</v>
      </c>
    </row>
    <row r="331" spans="2:10" x14ac:dyDescent="0.25">
      <c r="D331" s="42"/>
      <c r="G331" s="26"/>
      <c r="I331" s="42"/>
    </row>
    <row r="332" spans="2:10" x14ac:dyDescent="0.25">
      <c r="D332" s="42"/>
      <c r="G332" s="26"/>
      <c r="I332" s="42"/>
    </row>
    <row r="333" spans="2:10" x14ac:dyDescent="0.25">
      <c r="D333" s="42"/>
      <c r="G333" s="26"/>
      <c r="I333" s="42"/>
    </row>
    <row r="334" spans="2:10" x14ac:dyDescent="0.25">
      <c r="D334" s="42"/>
      <c r="G334" s="26"/>
      <c r="I334" s="42"/>
    </row>
    <row r="335" spans="2:10" x14ac:dyDescent="0.25">
      <c r="D335" s="42"/>
      <c r="G335" s="26"/>
      <c r="I335" s="42"/>
    </row>
    <row r="337" spans="2:10" x14ac:dyDescent="0.25">
      <c r="B337" s="4"/>
      <c r="C337" s="4" t="s">
        <v>142</v>
      </c>
      <c r="D337" s="28"/>
      <c r="E337" s="4"/>
      <c r="G337" s="28"/>
      <c r="H337" s="4" t="s">
        <v>224</v>
      </c>
      <c r="I337" s="28"/>
      <c r="J337" s="28"/>
    </row>
    <row r="338" spans="2:10" x14ac:dyDescent="0.25">
      <c r="B338" s="1" t="str">
        <f>E306</f>
        <v>4)</v>
      </c>
      <c r="C338" s="1">
        <f>D306</f>
        <v>5000</v>
      </c>
      <c r="D338" s="53"/>
      <c r="G338" s="26" t="s">
        <v>98</v>
      </c>
      <c r="H338" s="1">
        <v>9000</v>
      </c>
      <c r="I338" s="134">
        <f>H338</f>
        <v>9000</v>
      </c>
      <c r="J338" s="70" t="str">
        <f>G307</f>
        <v>7)</v>
      </c>
    </row>
    <row r="339" spans="2:10" x14ac:dyDescent="0.25">
      <c r="D339" s="42"/>
      <c r="G339" s="26"/>
      <c r="I339" s="42" t="s">
        <v>235</v>
      </c>
    </row>
    <row r="340" spans="2:10" x14ac:dyDescent="0.25">
      <c r="D340" s="42"/>
      <c r="G340" s="26"/>
      <c r="I340" s="42"/>
    </row>
    <row r="341" spans="2:10" x14ac:dyDescent="0.25">
      <c r="D341" s="42"/>
      <c r="G341" s="26"/>
      <c r="I341" s="42"/>
    </row>
    <row r="342" spans="2:10" x14ac:dyDescent="0.25">
      <c r="D342" s="42"/>
      <c r="G342" s="26"/>
      <c r="I342" s="42"/>
    </row>
    <row r="343" spans="2:10" x14ac:dyDescent="0.25">
      <c r="D343" s="42"/>
      <c r="G343" s="26"/>
      <c r="I343" s="42"/>
    </row>
    <row r="345" spans="2:10" x14ac:dyDescent="0.25">
      <c r="B345" s="4"/>
      <c r="C345" s="4" t="s">
        <v>217</v>
      </c>
      <c r="D345" s="28"/>
      <c r="E345" s="4"/>
      <c r="G345" s="74"/>
      <c r="H345" s="72" t="s">
        <v>231</v>
      </c>
      <c r="I345" s="74"/>
      <c r="J345" s="74"/>
    </row>
    <row r="346" spans="2:10" x14ac:dyDescent="0.25">
      <c r="D346" s="53">
        <f>H338-I322</f>
        <v>390</v>
      </c>
      <c r="E346" s="1" t="str">
        <f>G338</f>
        <v>5)</v>
      </c>
      <c r="G346" s="70"/>
      <c r="H346" s="69"/>
      <c r="I346" s="134">
        <f>I338</f>
        <v>9000</v>
      </c>
      <c r="J346" s="70" t="str">
        <f>J338</f>
        <v>7)</v>
      </c>
    </row>
    <row r="347" spans="2:10" x14ac:dyDescent="0.25">
      <c r="D347" s="42"/>
      <c r="G347" s="26"/>
      <c r="I347" s="42"/>
    </row>
    <row r="348" spans="2:10" x14ac:dyDescent="0.25">
      <c r="B348" s="3" t="s">
        <v>236</v>
      </c>
      <c r="C348" s="2"/>
      <c r="D348" s="148"/>
      <c r="G348" s="26"/>
      <c r="I348" s="42"/>
    </row>
    <row r="349" spans="2:10" ht="15.75" thickBot="1" x14ac:dyDescent="0.3"/>
    <row r="350" spans="2:10" x14ac:dyDescent="0.25">
      <c r="B350" s="139"/>
      <c r="C350" s="89" t="s">
        <v>237</v>
      </c>
      <c r="D350" s="90" t="s">
        <v>238</v>
      </c>
      <c r="E350" s="89"/>
      <c r="F350" s="90" t="s">
        <v>239</v>
      </c>
      <c r="G350" s="89"/>
      <c r="H350" s="91" t="s">
        <v>300</v>
      </c>
    </row>
    <row r="351" spans="2:10" x14ac:dyDescent="0.25">
      <c r="B351" s="140"/>
      <c r="C351" s="14"/>
      <c r="D351" s="30"/>
      <c r="E351" s="14"/>
      <c r="F351" s="30"/>
      <c r="G351" s="14"/>
      <c r="H351" s="81"/>
    </row>
    <row r="352" spans="2:10" x14ac:dyDescent="0.25">
      <c r="B352" s="140" t="s">
        <v>301</v>
      </c>
      <c r="C352" s="14">
        <v>180</v>
      </c>
      <c r="D352" s="30">
        <v>200</v>
      </c>
      <c r="E352" s="14"/>
      <c r="F352" s="30">
        <v>220</v>
      </c>
      <c r="G352" s="14"/>
      <c r="H352" s="81"/>
    </row>
    <row r="353" spans="2:12" x14ac:dyDescent="0.25">
      <c r="B353" s="140" t="s">
        <v>246</v>
      </c>
      <c r="C353" s="14">
        <f>C352*0.23</f>
        <v>41.4</v>
      </c>
      <c r="D353" s="30">
        <f>D352*0.23</f>
        <v>46</v>
      </c>
      <c r="E353" s="14"/>
      <c r="F353" s="30">
        <f>F352*0.23</f>
        <v>50.6</v>
      </c>
      <c r="G353" s="14"/>
      <c r="H353" s="81"/>
    </row>
    <row r="354" spans="2:12" ht="15.75" thickBot="1" x14ac:dyDescent="0.3">
      <c r="B354" s="141" t="s">
        <v>302</v>
      </c>
      <c r="C354" s="83">
        <f>C352+C353</f>
        <v>221.4</v>
      </c>
      <c r="D354" s="92">
        <f>D352+D353</f>
        <v>246</v>
      </c>
      <c r="E354" s="83"/>
      <c r="F354" s="92">
        <f>F352+F353</f>
        <v>270.60000000000002</v>
      </c>
      <c r="G354" s="83"/>
      <c r="H354" s="95">
        <f>F354</f>
        <v>270.60000000000002</v>
      </c>
    </row>
    <row r="355" spans="2:12" x14ac:dyDescent="0.25">
      <c r="D355" s="26">
        <f>D353-C353</f>
        <v>4.6000000000000014</v>
      </c>
      <c r="F355" s="26">
        <f>F353-D353</f>
        <v>4.6000000000000014</v>
      </c>
      <c r="H355" s="1" t="s">
        <v>303</v>
      </c>
    </row>
    <row r="356" spans="2:12" x14ac:dyDescent="0.25">
      <c r="D356" s="26">
        <f>D353-D355</f>
        <v>41.4</v>
      </c>
      <c r="F356" s="26">
        <f>F353-F355</f>
        <v>46</v>
      </c>
    </row>
    <row r="358" spans="2:12" x14ac:dyDescent="0.25">
      <c r="C358" s="1" t="s">
        <v>304</v>
      </c>
      <c r="F358" s="26" t="s">
        <v>245</v>
      </c>
      <c r="H358" s="1" t="s">
        <v>246</v>
      </c>
      <c r="I358" s="26" t="s">
        <v>286</v>
      </c>
    </row>
    <row r="359" spans="2:12" x14ac:dyDescent="0.25">
      <c r="B359" s="1">
        <v>1</v>
      </c>
      <c r="C359" s="1" t="s">
        <v>305</v>
      </c>
      <c r="F359" s="26">
        <v>50</v>
      </c>
      <c r="H359" s="1">
        <f>F359*0.23</f>
        <v>11.5</v>
      </c>
      <c r="I359" s="26">
        <f>F359+H359</f>
        <v>61.5</v>
      </c>
    </row>
    <row r="360" spans="2:12" x14ac:dyDescent="0.25">
      <c r="B360" s="1">
        <v>2</v>
      </c>
      <c r="C360" s="1" t="s">
        <v>306</v>
      </c>
      <c r="F360" s="26">
        <v>30</v>
      </c>
      <c r="H360" s="1">
        <f>F360*0.23</f>
        <v>6.9</v>
      </c>
      <c r="I360" s="26">
        <f>F360+H360</f>
        <v>36.9</v>
      </c>
    </row>
    <row r="361" spans="2:12" x14ac:dyDescent="0.25">
      <c r="B361" s="1">
        <v>3</v>
      </c>
      <c r="C361" s="1" t="s">
        <v>307</v>
      </c>
      <c r="F361" s="26">
        <f>I361*0.71</f>
        <v>28.4</v>
      </c>
      <c r="H361" s="98"/>
      <c r="I361" s="26">
        <v>40</v>
      </c>
      <c r="K361" s="1">
        <f>I361*1.2</f>
        <v>48</v>
      </c>
      <c r="L361" s="1">
        <f>K361-I361</f>
        <v>8</v>
      </c>
    </row>
    <row r="362" spans="2:12" x14ac:dyDescent="0.25">
      <c r="B362" s="1">
        <v>4</v>
      </c>
      <c r="C362" s="1" t="s">
        <v>257</v>
      </c>
      <c r="F362" s="26">
        <v>20</v>
      </c>
      <c r="H362" s="1">
        <f>F362*0.23</f>
        <v>4.6000000000000005</v>
      </c>
      <c r="I362" s="26">
        <f>F362+H362</f>
        <v>24.6</v>
      </c>
      <c r="K362" s="1" t="s">
        <v>308</v>
      </c>
    </row>
    <row r="365" spans="2:12" x14ac:dyDescent="0.25">
      <c r="B365" s="4"/>
      <c r="C365" s="4" t="s">
        <v>258</v>
      </c>
      <c r="D365" s="28"/>
      <c r="E365" s="4"/>
      <c r="G365" s="28"/>
      <c r="H365" s="4" t="s">
        <v>104</v>
      </c>
      <c r="I365" s="28"/>
      <c r="J365" s="28"/>
    </row>
    <row r="366" spans="2:12" x14ac:dyDescent="0.25">
      <c r="B366" s="1">
        <f>B359</f>
        <v>1</v>
      </c>
      <c r="C366" s="1">
        <f>F359</f>
        <v>50</v>
      </c>
      <c r="D366" s="53"/>
      <c r="G366" s="26"/>
      <c r="I366" s="53">
        <f>I359</f>
        <v>61.5</v>
      </c>
      <c r="J366" s="26">
        <f>B359</f>
        <v>1</v>
      </c>
    </row>
    <row r="367" spans="2:12" x14ac:dyDescent="0.25">
      <c r="B367" s="1">
        <f>B360</f>
        <v>2</v>
      </c>
      <c r="C367" s="1">
        <f>F360</f>
        <v>30</v>
      </c>
      <c r="D367" s="42"/>
      <c r="G367" s="26"/>
      <c r="I367" s="42">
        <f>I360</f>
        <v>36.9</v>
      </c>
      <c r="J367" s="26">
        <f>B360</f>
        <v>2</v>
      </c>
    </row>
    <row r="368" spans="2:12" x14ac:dyDescent="0.25">
      <c r="D368" s="42"/>
      <c r="G368" s="26"/>
      <c r="I368" s="42">
        <f>I362</f>
        <v>24.6</v>
      </c>
      <c r="J368" s="26">
        <f>B362</f>
        <v>4</v>
      </c>
    </row>
    <row r="369" spans="2:10" x14ac:dyDescent="0.25">
      <c r="D369" s="42"/>
      <c r="G369" s="26"/>
      <c r="I369" s="42"/>
    </row>
    <row r="370" spans="2:10" ht="15.75" thickBot="1" x14ac:dyDescent="0.3"/>
    <row r="371" spans="2:10" x14ac:dyDescent="0.25">
      <c r="B371" s="142"/>
      <c r="C371" s="86" t="s">
        <v>158</v>
      </c>
      <c r="D371" s="136"/>
      <c r="E371" s="79"/>
      <c r="G371" s="28"/>
      <c r="H371" s="4" t="s">
        <v>287</v>
      </c>
      <c r="I371" s="28"/>
      <c r="J371" s="28"/>
    </row>
    <row r="372" spans="2:10" x14ac:dyDescent="0.25">
      <c r="B372" s="140">
        <f>B366</f>
        <v>1</v>
      </c>
      <c r="C372" s="14">
        <f>H359</f>
        <v>11.5</v>
      </c>
      <c r="D372" s="53">
        <f>C372+C373+C374</f>
        <v>23</v>
      </c>
      <c r="E372" s="81" t="s">
        <v>214</v>
      </c>
      <c r="G372" s="50">
        <f>B361</f>
        <v>3</v>
      </c>
      <c r="H372" s="38">
        <f>I361</f>
        <v>40</v>
      </c>
      <c r="I372" s="53"/>
    </row>
    <row r="373" spans="2:10" x14ac:dyDescent="0.25">
      <c r="B373" s="140">
        <f>B360</f>
        <v>2</v>
      </c>
      <c r="C373" s="14">
        <f>H360</f>
        <v>6.9</v>
      </c>
      <c r="D373" s="42"/>
      <c r="E373" s="81"/>
      <c r="G373" s="51">
        <f>G372</f>
        <v>3</v>
      </c>
      <c r="H373" s="35">
        <f>H372</f>
        <v>40</v>
      </c>
      <c r="I373" s="42"/>
    </row>
    <row r="374" spans="2:10" x14ac:dyDescent="0.25">
      <c r="B374" s="140">
        <f>B362</f>
        <v>4</v>
      </c>
      <c r="C374" s="14">
        <f>H362</f>
        <v>4.6000000000000005</v>
      </c>
      <c r="D374" s="42"/>
      <c r="E374" s="81"/>
      <c r="G374" s="26"/>
      <c r="I374" s="42"/>
    </row>
    <row r="375" spans="2:10" ht="15.75" thickBot="1" x14ac:dyDescent="0.3">
      <c r="B375" s="141"/>
      <c r="C375" s="83"/>
      <c r="D375" s="137"/>
      <c r="E375" s="85"/>
      <c r="G375" s="26"/>
      <c r="I375" s="42"/>
    </row>
    <row r="377" spans="2:10" x14ac:dyDescent="0.25">
      <c r="B377" s="4"/>
      <c r="C377" s="4" t="s">
        <v>289</v>
      </c>
      <c r="D377" s="28"/>
      <c r="E377" s="4"/>
      <c r="G377" s="28"/>
      <c r="H377" s="4" t="s">
        <v>309</v>
      </c>
      <c r="I377" s="28"/>
      <c r="J377" s="28"/>
    </row>
    <row r="378" spans="2:10" x14ac:dyDescent="0.25">
      <c r="B378" s="35">
        <f>E379</f>
        <v>3</v>
      </c>
      <c r="C378" s="35">
        <f>D379-D378</f>
        <v>11.600000000000001</v>
      </c>
      <c r="D378" s="135">
        <f>F361</f>
        <v>28.4</v>
      </c>
      <c r="E378" s="50">
        <f>B361</f>
        <v>3</v>
      </c>
      <c r="G378" s="26"/>
      <c r="I378" s="135">
        <f>H372-D378</f>
        <v>11.600000000000001</v>
      </c>
      <c r="J378" s="50">
        <f>G372</f>
        <v>3</v>
      </c>
    </row>
    <row r="379" spans="2:10" x14ac:dyDescent="0.25">
      <c r="D379" s="133">
        <f>H372</f>
        <v>40</v>
      </c>
      <c r="E379" s="51">
        <f>E378</f>
        <v>3</v>
      </c>
      <c r="G379" s="26"/>
      <c r="I379" s="42">
        <f>C384</f>
        <v>8</v>
      </c>
      <c r="J379" s="26" t="str">
        <f>B384</f>
        <v>3a</v>
      </c>
    </row>
    <row r="380" spans="2:10" x14ac:dyDescent="0.25">
      <c r="D380" s="42"/>
      <c r="G380" s="26"/>
      <c r="I380" s="133">
        <f>C378</f>
        <v>11.600000000000001</v>
      </c>
      <c r="J380" s="51">
        <f>E379</f>
        <v>3</v>
      </c>
    </row>
    <row r="381" spans="2:10" x14ac:dyDescent="0.25">
      <c r="D381" s="42"/>
      <c r="G381" s="26"/>
      <c r="I381" s="42"/>
    </row>
    <row r="383" spans="2:10" x14ac:dyDescent="0.25">
      <c r="B383" s="4"/>
      <c r="C383" s="4" t="s">
        <v>291</v>
      </c>
      <c r="D383" s="28"/>
      <c r="E383" s="4"/>
      <c r="G383" s="28"/>
      <c r="H383" s="4" t="s">
        <v>293</v>
      </c>
      <c r="I383" s="28"/>
      <c r="J383" s="28"/>
    </row>
    <row r="384" spans="2:10" x14ac:dyDescent="0.25">
      <c r="B384" s="1" t="s">
        <v>310</v>
      </c>
      <c r="C384" s="1">
        <f>L361</f>
        <v>8</v>
      </c>
      <c r="D384" s="53"/>
      <c r="G384" s="26">
        <f>B362</f>
        <v>4</v>
      </c>
      <c r="H384" s="1">
        <f>F362</f>
        <v>20</v>
      </c>
      <c r="I384" s="53"/>
    </row>
    <row r="385" spans="2:10" x14ac:dyDescent="0.25">
      <c r="D385" s="42"/>
      <c r="G385" s="26"/>
      <c r="I385" s="42"/>
    </row>
    <row r="386" spans="2:10" x14ac:dyDescent="0.25">
      <c r="D386" s="42"/>
      <c r="G386" s="26"/>
      <c r="I386" s="42"/>
    </row>
    <row r="387" spans="2:10" x14ac:dyDescent="0.25">
      <c r="D387" s="42"/>
      <c r="G387" s="26"/>
      <c r="I387" s="42"/>
    </row>
    <row r="389" spans="2:10" x14ac:dyDescent="0.25">
      <c r="B389" s="4"/>
      <c r="C389" s="99" t="s">
        <v>311</v>
      </c>
      <c r="D389" s="28"/>
      <c r="E389" s="4"/>
      <c r="G389" s="28"/>
      <c r="H389" s="4" t="s">
        <v>264</v>
      </c>
      <c r="I389" s="28"/>
      <c r="J389" s="28"/>
    </row>
    <row r="390" spans="2:10" x14ac:dyDescent="0.25">
      <c r="B390" s="1" t="str">
        <f>J390</f>
        <v>1a</v>
      </c>
      <c r="C390" s="1">
        <f>I390</f>
        <v>50</v>
      </c>
      <c r="D390" s="53">
        <f>C390+C391+C392+C393+C394</f>
        <v>148</v>
      </c>
      <c r="E390" s="1" t="s">
        <v>98</v>
      </c>
      <c r="G390" s="26"/>
      <c r="I390" s="53">
        <f>C366</f>
        <v>50</v>
      </c>
      <c r="J390" s="26" t="s">
        <v>312</v>
      </c>
    </row>
    <row r="391" spans="2:10" x14ac:dyDescent="0.25">
      <c r="B391" s="1" t="str">
        <f>J391</f>
        <v>2a</v>
      </c>
      <c r="C391" s="1">
        <f>I391</f>
        <v>30</v>
      </c>
      <c r="D391" s="42"/>
      <c r="G391" s="26"/>
      <c r="I391" s="42">
        <f>C367</f>
        <v>30</v>
      </c>
      <c r="J391" s="26" t="s">
        <v>313</v>
      </c>
    </row>
    <row r="392" spans="2:10" x14ac:dyDescent="0.25">
      <c r="B392" s="1" t="str">
        <f t="shared" ref="B392:B394" si="0">J392</f>
        <v>3a</v>
      </c>
      <c r="C392" s="1">
        <f t="shared" ref="C392:C394" si="1">I392</f>
        <v>40</v>
      </c>
      <c r="D392" s="42"/>
      <c r="G392" s="26"/>
      <c r="I392" s="42">
        <f>H372</f>
        <v>40</v>
      </c>
      <c r="J392" s="26" t="s">
        <v>310</v>
      </c>
    </row>
    <row r="393" spans="2:10" x14ac:dyDescent="0.25">
      <c r="B393" s="1" t="str">
        <f t="shared" si="0"/>
        <v>3a</v>
      </c>
      <c r="C393" s="1">
        <f t="shared" si="1"/>
        <v>8</v>
      </c>
      <c r="D393" s="42"/>
      <c r="G393" s="26"/>
      <c r="I393" s="42">
        <f>C384</f>
        <v>8</v>
      </c>
      <c r="J393" s="26" t="s">
        <v>310</v>
      </c>
    </row>
    <row r="394" spans="2:10" x14ac:dyDescent="0.25">
      <c r="B394" s="1">
        <f t="shared" si="0"/>
        <v>4</v>
      </c>
      <c r="C394" s="1">
        <f t="shared" si="1"/>
        <v>20</v>
      </c>
      <c r="D394" s="42"/>
      <c r="I394" s="26">
        <f>H384</f>
        <v>20</v>
      </c>
      <c r="J394" s="26">
        <v>4</v>
      </c>
    </row>
    <row r="395" spans="2:10" x14ac:dyDescent="0.25">
      <c r="D395" s="42"/>
    </row>
    <row r="397" spans="2:10" x14ac:dyDescent="0.25">
      <c r="B397" s="4"/>
      <c r="C397" s="4" t="s">
        <v>266</v>
      </c>
      <c r="D397" s="28"/>
      <c r="E397" s="4"/>
      <c r="G397" s="28"/>
      <c r="H397" s="4" t="s">
        <v>314</v>
      </c>
      <c r="I397" s="28"/>
      <c r="J397" s="28"/>
    </row>
    <row r="398" spans="2:10" x14ac:dyDescent="0.25">
      <c r="B398" s="1" t="str">
        <f>E390</f>
        <v>5)</v>
      </c>
      <c r="C398" s="1">
        <f>D390</f>
        <v>148</v>
      </c>
      <c r="D398" s="53">
        <f>C398</f>
        <v>148</v>
      </c>
      <c r="E398" s="1" t="s">
        <v>144</v>
      </c>
      <c r="G398" s="26"/>
      <c r="I398" s="53">
        <f>C352</f>
        <v>180</v>
      </c>
      <c r="J398" s="26">
        <f>B404</f>
        <v>6</v>
      </c>
    </row>
    <row r="399" spans="2:10" x14ac:dyDescent="0.25">
      <c r="D399" s="42"/>
      <c r="G399" s="26"/>
      <c r="I399" s="42"/>
    </row>
    <row r="400" spans="2:10" x14ac:dyDescent="0.25">
      <c r="D400" s="42"/>
      <c r="G400" s="26"/>
      <c r="I400" s="42"/>
    </row>
    <row r="401" spans="2:10" x14ac:dyDescent="0.25">
      <c r="D401" s="42"/>
      <c r="G401" s="26"/>
      <c r="I401" s="42"/>
    </row>
    <row r="402" spans="2:10" ht="15.75" thickBot="1" x14ac:dyDescent="0.3"/>
    <row r="403" spans="2:10" x14ac:dyDescent="0.25">
      <c r="B403" s="4"/>
      <c r="C403" s="4" t="s">
        <v>161</v>
      </c>
      <c r="D403" s="28"/>
      <c r="E403" s="4"/>
      <c r="G403" s="77"/>
      <c r="H403" s="86" t="s">
        <v>141</v>
      </c>
      <c r="I403" s="136"/>
      <c r="J403" s="115"/>
    </row>
    <row r="404" spans="2:10" x14ac:dyDescent="0.25">
      <c r="B404" s="1">
        <v>6</v>
      </c>
      <c r="C404" s="1">
        <f>C354</f>
        <v>221.4</v>
      </c>
      <c r="D404" s="53"/>
      <c r="G404" s="80" t="str">
        <f>G410</f>
        <v>8)</v>
      </c>
      <c r="H404" s="14">
        <f>I404</f>
        <v>41.4</v>
      </c>
      <c r="I404" s="53">
        <f>C353</f>
        <v>41.4</v>
      </c>
      <c r="J404" s="100">
        <f>J398</f>
        <v>6</v>
      </c>
    </row>
    <row r="405" spans="2:10" x14ac:dyDescent="0.25">
      <c r="D405" s="42"/>
      <c r="G405" s="80"/>
      <c r="H405" s="14"/>
      <c r="I405" s="42"/>
      <c r="J405" s="100"/>
    </row>
    <row r="406" spans="2:10" x14ac:dyDescent="0.25">
      <c r="D406" s="42"/>
      <c r="G406" s="80"/>
      <c r="H406" s="14"/>
      <c r="I406" s="42"/>
      <c r="J406" s="100"/>
    </row>
    <row r="407" spans="2:10" ht="15.75" thickBot="1" x14ac:dyDescent="0.3">
      <c r="D407" s="42"/>
      <c r="G407" s="82"/>
      <c r="H407" s="83"/>
      <c r="I407" s="137"/>
      <c r="J407" s="116"/>
    </row>
    <row r="408" spans="2:10" ht="15.75" thickBot="1" x14ac:dyDescent="0.3"/>
    <row r="409" spans="2:10" x14ac:dyDescent="0.25">
      <c r="B409" s="4"/>
      <c r="C409" s="4" t="s">
        <v>315</v>
      </c>
      <c r="D409" s="28"/>
      <c r="E409" s="4"/>
      <c r="G409" s="77"/>
      <c r="H409" s="86" t="s">
        <v>316</v>
      </c>
      <c r="I409" s="136"/>
      <c r="J409" s="115"/>
    </row>
    <row r="410" spans="2:10" x14ac:dyDescent="0.25">
      <c r="B410" s="1" t="str">
        <f>E398</f>
        <v>7)</v>
      </c>
      <c r="C410" s="1">
        <f>D398</f>
        <v>148</v>
      </c>
      <c r="D410" s="53"/>
      <c r="G410" s="87" t="str">
        <f>E372</f>
        <v>8)</v>
      </c>
      <c r="H410" s="7">
        <f>D372</f>
        <v>23</v>
      </c>
      <c r="I410" s="127">
        <f>H404</f>
        <v>41.4</v>
      </c>
      <c r="J410" s="117" t="str">
        <f>G410</f>
        <v>8)</v>
      </c>
    </row>
    <row r="411" spans="2:10" x14ac:dyDescent="0.25">
      <c r="D411" s="42"/>
      <c r="G411" s="80"/>
      <c r="H411" s="14">
        <f>H410</f>
        <v>23</v>
      </c>
      <c r="I411" s="42">
        <f>I410</f>
        <v>41.4</v>
      </c>
      <c r="J411" s="100"/>
    </row>
    <row r="412" spans="2:10" x14ac:dyDescent="0.25">
      <c r="D412" s="42"/>
      <c r="G412" s="80" t="s">
        <v>31</v>
      </c>
      <c r="H412" s="14">
        <f>I411-H411</f>
        <v>18.399999999999999</v>
      </c>
      <c r="I412" s="42"/>
      <c r="J412" s="100"/>
    </row>
    <row r="413" spans="2:10" ht="15.75" thickBot="1" x14ac:dyDescent="0.3">
      <c r="D413" s="42"/>
      <c r="G413" s="82"/>
      <c r="H413" s="83"/>
      <c r="I413" s="137"/>
      <c r="J413" s="116"/>
    </row>
    <row r="415" spans="2:10" ht="15.75" thickBot="1" x14ac:dyDescent="0.3">
      <c r="D415" s="26">
        <f>D416+D423</f>
        <v>6024</v>
      </c>
      <c r="E415" s="114" t="s">
        <v>355</v>
      </c>
      <c r="G415" s="28"/>
      <c r="H415" s="4"/>
      <c r="I415" s="28"/>
      <c r="J415" s="28"/>
    </row>
    <row r="416" spans="2:10" ht="30.75" thickBot="1" x14ac:dyDescent="0.3">
      <c r="B416" s="107" t="s">
        <v>317</v>
      </c>
      <c r="C416" s="102"/>
      <c r="D416" s="149">
        <v>5000</v>
      </c>
      <c r="G416" s="26"/>
      <c r="I416" s="53"/>
    </row>
    <row r="417" spans="2:10" ht="30.75" thickBot="1" x14ac:dyDescent="0.3">
      <c r="B417" s="107" t="s">
        <v>318</v>
      </c>
      <c r="C417" s="102"/>
      <c r="D417" s="149"/>
      <c r="G417" s="26"/>
      <c r="I417" s="42"/>
    </row>
    <row r="418" spans="2:10" ht="30.75" thickBot="1" x14ac:dyDescent="0.3">
      <c r="B418" s="107" t="s">
        <v>319</v>
      </c>
      <c r="C418" s="103">
        <v>9.7600000000000006E-2</v>
      </c>
      <c r="D418" s="149">
        <f>$D$416*C418</f>
        <v>488.00000000000006</v>
      </c>
      <c r="G418" s="26"/>
      <c r="I418" s="42"/>
    </row>
    <row r="419" spans="2:10" ht="30.75" thickBot="1" x14ac:dyDescent="0.3">
      <c r="B419" s="107" t="s">
        <v>320</v>
      </c>
      <c r="C419" s="103">
        <v>6.5000000000000002E-2</v>
      </c>
      <c r="D419" s="149">
        <f>$D$416*C419</f>
        <v>325</v>
      </c>
      <c r="G419" s="26"/>
      <c r="I419" s="42"/>
    </row>
    <row r="420" spans="2:10" ht="30.75" thickBot="1" x14ac:dyDescent="0.3">
      <c r="B420" s="107" t="s">
        <v>321</v>
      </c>
      <c r="C420" s="103">
        <v>1.67E-2</v>
      </c>
      <c r="D420" s="149">
        <f>$D$416*C420</f>
        <v>83.5</v>
      </c>
    </row>
    <row r="421" spans="2:10" ht="15.75" thickBot="1" x14ac:dyDescent="0.3">
      <c r="B421" s="107" t="s">
        <v>322</v>
      </c>
      <c r="C421" s="103">
        <v>2.4500000000000001E-2</v>
      </c>
      <c r="D421" s="149">
        <f>$D$416*C421</f>
        <v>122.5</v>
      </c>
      <c r="G421" s="28"/>
      <c r="H421" s="4"/>
      <c r="I421" s="28"/>
      <c r="J421" s="28"/>
    </row>
    <row r="422" spans="2:10" ht="60.75" thickBot="1" x14ac:dyDescent="0.3">
      <c r="B422" s="107" t="s">
        <v>323</v>
      </c>
      <c r="C422" s="103">
        <v>1E-3</v>
      </c>
      <c r="D422" s="149">
        <f>$D$416*C422</f>
        <v>5</v>
      </c>
      <c r="G422" s="26"/>
      <c r="I422" s="53"/>
    </row>
    <row r="423" spans="2:10" ht="45.75" thickBot="1" x14ac:dyDescent="0.3">
      <c r="B423" s="107" t="s">
        <v>324</v>
      </c>
      <c r="C423" s="102"/>
      <c r="D423" s="150">
        <f>SUM(D418:D422)</f>
        <v>1024</v>
      </c>
      <c r="E423" s="113">
        <f>D423/D416</f>
        <v>0.20480000000000001</v>
      </c>
      <c r="G423" s="26"/>
      <c r="I423" s="42"/>
    </row>
    <row r="424" spans="2:10" ht="30.75" thickBot="1" x14ac:dyDescent="0.3">
      <c r="B424" s="107" t="s">
        <v>325</v>
      </c>
      <c r="C424" s="102"/>
      <c r="D424" s="149"/>
      <c r="G424" s="26"/>
      <c r="I424" s="42"/>
    </row>
    <row r="425" spans="2:10" ht="30.75" thickBot="1" x14ac:dyDescent="0.3">
      <c r="B425" s="107" t="s">
        <v>319</v>
      </c>
      <c r="C425" s="103">
        <v>9.7600000000000006E-2</v>
      </c>
      <c r="D425" s="149">
        <f>$D$416*C425</f>
        <v>488.00000000000006</v>
      </c>
      <c r="G425" s="26"/>
      <c r="I425" s="42"/>
    </row>
    <row r="426" spans="2:10" ht="30.75" thickBot="1" x14ac:dyDescent="0.3">
      <c r="B426" s="107" t="s">
        <v>320</v>
      </c>
      <c r="C426" s="103">
        <v>1.4999999999999999E-2</v>
      </c>
      <c r="D426" s="149">
        <f>$D$416*C426</f>
        <v>75</v>
      </c>
    </row>
    <row r="427" spans="2:10" ht="30.75" thickBot="1" x14ac:dyDescent="0.3">
      <c r="B427" s="107" t="s">
        <v>326</v>
      </c>
      <c r="C427" s="103">
        <v>2.4500000000000001E-2</v>
      </c>
      <c r="D427" s="149">
        <f>$D$416*C427</f>
        <v>122.5</v>
      </c>
    </row>
    <row r="428" spans="2:10" ht="45.75" thickBot="1" x14ac:dyDescent="0.3">
      <c r="B428" s="107" t="s">
        <v>327</v>
      </c>
      <c r="C428" s="102"/>
      <c r="D428" s="150">
        <f>SUM(D425:D427)</f>
        <v>685.5</v>
      </c>
      <c r="E428" s="113">
        <f>D428/D416</f>
        <v>0.1371</v>
      </c>
    </row>
    <row r="429" spans="2:10" ht="75.75" thickBot="1" x14ac:dyDescent="0.3">
      <c r="B429" s="107" t="s">
        <v>354</v>
      </c>
      <c r="C429" s="104"/>
      <c r="D429" s="149">
        <f>D416-D428</f>
        <v>4314.5</v>
      </c>
    </row>
    <row r="430" spans="2:10" ht="45.75" thickBot="1" x14ac:dyDescent="0.3">
      <c r="B430" s="107" t="s">
        <v>328</v>
      </c>
      <c r="C430" s="104"/>
      <c r="D430" s="101">
        <v>300</v>
      </c>
      <c r="E430" s="1" t="s">
        <v>353</v>
      </c>
    </row>
    <row r="431" spans="2:10" ht="45.75" thickBot="1" x14ac:dyDescent="0.3">
      <c r="B431" s="107" t="s">
        <v>329</v>
      </c>
      <c r="C431" s="104"/>
      <c r="D431" s="101">
        <f>ROUND(D429-D430,0)</f>
        <v>4015</v>
      </c>
    </row>
    <row r="432" spans="2:10" ht="45.75" thickBot="1" x14ac:dyDescent="0.3">
      <c r="B432" s="107" t="s">
        <v>332</v>
      </c>
      <c r="C432" s="111">
        <v>0.12</v>
      </c>
      <c r="D432" s="150">
        <f>ROUND(D431*C432-D433,0)</f>
        <v>182</v>
      </c>
    </row>
    <row r="433" spans="1:10" ht="105.75" thickBot="1" x14ac:dyDescent="0.3">
      <c r="B433" s="107" t="s">
        <v>333</v>
      </c>
      <c r="C433" s="105"/>
      <c r="D433" s="151">
        <v>300</v>
      </c>
    </row>
    <row r="434" spans="1:10" ht="60.75" thickBot="1" x14ac:dyDescent="0.3">
      <c r="B434" s="107" t="s">
        <v>330</v>
      </c>
      <c r="C434" s="112">
        <v>0.09</v>
      </c>
      <c r="D434" s="150">
        <f>C434*D429</f>
        <v>388.30500000000001</v>
      </c>
    </row>
    <row r="435" spans="1:10" ht="30.75" thickBot="1" x14ac:dyDescent="0.3">
      <c r="B435" s="107" t="s">
        <v>331</v>
      </c>
      <c r="C435" s="106"/>
      <c r="D435" s="151">
        <f>D416-D428-D432-D434</f>
        <v>3744.1950000000002</v>
      </c>
      <c r="E435" s="20">
        <f>D435/D416</f>
        <v>0.74883900000000003</v>
      </c>
    </row>
    <row r="437" spans="1:10" x14ac:dyDescent="0.25">
      <c r="A437" s="26">
        <v>1</v>
      </c>
      <c r="B437" s="1" t="s">
        <v>356</v>
      </c>
    </row>
    <row r="438" spans="1:10" x14ac:dyDescent="0.25">
      <c r="A438" s="26">
        <v>2</v>
      </c>
      <c r="B438" s="1" t="s">
        <v>360</v>
      </c>
    </row>
    <row r="439" spans="1:10" x14ac:dyDescent="0.25">
      <c r="A439" s="26">
        <v>3</v>
      </c>
      <c r="B439" s="1" t="s">
        <v>357</v>
      </c>
    </row>
    <row r="440" spans="1:10" x14ac:dyDescent="0.25">
      <c r="A440" s="26" t="s">
        <v>310</v>
      </c>
      <c r="B440" s="1" t="s">
        <v>358</v>
      </c>
    </row>
    <row r="441" spans="1:10" x14ac:dyDescent="0.25">
      <c r="A441" s="26" t="s">
        <v>342</v>
      </c>
      <c r="B441" s="1" t="s">
        <v>359</v>
      </c>
    </row>
    <row r="442" spans="1:10" x14ac:dyDescent="0.25">
      <c r="A442" s="26" t="s">
        <v>343</v>
      </c>
      <c r="B442" s="1" t="s">
        <v>339</v>
      </c>
    </row>
    <row r="444" spans="1:10" x14ac:dyDescent="0.25">
      <c r="B444" s="4"/>
      <c r="C444" s="4" t="s">
        <v>287</v>
      </c>
      <c r="D444" s="28"/>
      <c r="E444" s="4"/>
      <c r="G444" s="28"/>
      <c r="H444" s="4" t="s">
        <v>260</v>
      </c>
      <c r="I444" s="28"/>
      <c r="J444" s="28"/>
    </row>
    <row r="445" spans="1:10" x14ac:dyDescent="0.25">
      <c r="B445" s="1">
        <f>A437</f>
        <v>1</v>
      </c>
      <c r="C445" s="1">
        <f>D416</f>
        <v>5000</v>
      </c>
      <c r="D445" s="53"/>
      <c r="G445" s="26" t="str">
        <f>A440</f>
        <v>3a</v>
      </c>
      <c r="H445" s="1">
        <f>D428</f>
        <v>685.5</v>
      </c>
      <c r="I445" s="53">
        <f>C445</f>
        <v>5000</v>
      </c>
      <c r="J445" s="26">
        <f>B445</f>
        <v>1</v>
      </c>
    </row>
    <row r="446" spans="1:10" x14ac:dyDescent="0.25">
      <c r="D446" s="42"/>
      <c r="G446" s="26" t="str">
        <f>A441</f>
        <v>3b</v>
      </c>
      <c r="H446" s="1">
        <f>D434</f>
        <v>388.30500000000001</v>
      </c>
      <c r="I446" s="42"/>
    </row>
    <row r="447" spans="1:10" x14ac:dyDescent="0.25">
      <c r="D447" s="42"/>
      <c r="G447" s="28" t="str">
        <f>A442</f>
        <v>3c</v>
      </c>
      <c r="H447" s="4">
        <f>D432</f>
        <v>182</v>
      </c>
      <c r="I447" s="43"/>
      <c r="J447" s="28"/>
    </row>
    <row r="448" spans="1:10" x14ac:dyDescent="0.25">
      <c r="D448" s="42"/>
      <c r="G448" s="26"/>
      <c r="H448" s="1">
        <f>SUM(H445:H447)</f>
        <v>1255.8050000000001</v>
      </c>
      <c r="I448" s="42">
        <f>SUM(I445:I447)</f>
        <v>5000</v>
      </c>
    </row>
    <row r="449" spans="2:10" x14ac:dyDescent="0.25">
      <c r="D449" s="42"/>
      <c r="G449" s="26" t="s">
        <v>31</v>
      </c>
      <c r="H449" s="1">
        <f>I448-H448</f>
        <v>3744.1949999999997</v>
      </c>
      <c r="I449" s="42"/>
    </row>
    <row r="452" spans="2:10" x14ac:dyDescent="0.25">
      <c r="B452" s="4"/>
      <c r="C452" s="4" t="s">
        <v>291</v>
      </c>
      <c r="D452" s="28"/>
      <c r="E452" s="4"/>
      <c r="G452" s="28"/>
      <c r="H452" s="4" t="s">
        <v>341</v>
      </c>
      <c r="I452" s="28"/>
      <c r="J452" s="28"/>
    </row>
    <row r="453" spans="2:10" x14ac:dyDescent="0.25">
      <c r="B453" s="1">
        <f>A438</f>
        <v>2</v>
      </c>
      <c r="C453" s="1">
        <f>D423</f>
        <v>1024</v>
      </c>
      <c r="D453" s="53"/>
      <c r="G453" s="26"/>
      <c r="I453" s="53">
        <f>C453</f>
        <v>1024</v>
      </c>
      <c r="J453" s="26">
        <f>B453</f>
        <v>2</v>
      </c>
    </row>
    <row r="454" spans="2:10" x14ac:dyDescent="0.25">
      <c r="D454" s="42"/>
      <c r="G454" s="26"/>
      <c r="I454" s="42">
        <f>H445</f>
        <v>685.5</v>
      </c>
      <c r="J454" s="26" t="str">
        <f>G445</f>
        <v>3a</v>
      </c>
    </row>
    <row r="455" spans="2:10" x14ac:dyDescent="0.25">
      <c r="D455" s="42"/>
      <c r="G455" s="26"/>
      <c r="I455" s="42">
        <f>H446</f>
        <v>388.30500000000001</v>
      </c>
      <c r="J455" s="26" t="str">
        <f>G446</f>
        <v>3b</v>
      </c>
    </row>
    <row r="456" spans="2:10" x14ac:dyDescent="0.25">
      <c r="D456" s="42"/>
      <c r="G456" s="26"/>
      <c r="I456" s="42"/>
    </row>
    <row r="457" spans="2:10" x14ac:dyDescent="0.25">
      <c r="D457" s="42"/>
      <c r="G457" s="26"/>
      <c r="I457" s="42"/>
    </row>
    <row r="459" spans="2:10" x14ac:dyDescent="0.25">
      <c r="B459" s="4"/>
      <c r="C459" s="4" t="s">
        <v>369</v>
      </c>
      <c r="D459" s="28"/>
      <c r="E459" s="4"/>
      <c r="G459" s="28"/>
      <c r="H459" s="4"/>
      <c r="I459" s="28"/>
      <c r="J459" s="28"/>
    </row>
    <row r="460" spans="2:10" x14ac:dyDescent="0.25">
      <c r="D460" s="53">
        <f>H447</f>
        <v>182</v>
      </c>
      <c r="E460" s="1" t="str">
        <f>G447</f>
        <v>3c</v>
      </c>
      <c r="G460" s="26"/>
      <c r="I460" s="53"/>
    </row>
    <row r="461" spans="2:10" x14ac:dyDescent="0.25">
      <c r="D461" s="42"/>
      <c r="G461" s="26"/>
      <c r="I461" s="42"/>
    </row>
    <row r="462" spans="2:10" x14ac:dyDescent="0.25">
      <c r="D462" s="42"/>
      <c r="G462" s="26"/>
      <c r="I462" s="42"/>
    </row>
    <row r="463" spans="2:10" x14ac:dyDescent="0.25">
      <c r="D463" s="42"/>
      <c r="G463" s="26"/>
      <c r="I463" s="42"/>
    </row>
    <row r="464" spans="2:10" x14ac:dyDescent="0.25">
      <c r="D464" s="42"/>
      <c r="G464" s="26"/>
      <c r="I464" s="42"/>
    </row>
    <row r="465" spans="2:3" x14ac:dyDescent="0.25">
      <c r="B465" s="1" t="s">
        <v>361</v>
      </c>
      <c r="C465" s="14"/>
    </row>
    <row r="466" spans="2:3" x14ac:dyDescent="0.25">
      <c r="B466" s="1">
        <v>1</v>
      </c>
      <c r="C466" s="14" t="s">
        <v>348</v>
      </c>
    </row>
    <row r="467" spans="2:3" x14ac:dyDescent="0.25">
      <c r="B467" s="1">
        <v>2</v>
      </c>
      <c r="C467" s="14" t="s">
        <v>349</v>
      </c>
    </row>
    <row r="468" spans="2:3" x14ac:dyDescent="0.25">
      <c r="C468" s="14" t="s">
        <v>350</v>
      </c>
    </row>
    <row r="469" spans="2:3" x14ac:dyDescent="0.25">
      <c r="C469" s="14" t="s">
        <v>351</v>
      </c>
    </row>
    <row r="470" spans="2:3" x14ac:dyDescent="0.25">
      <c r="B470" s="1">
        <v>3</v>
      </c>
      <c r="C470" s="14" t="s">
        <v>352</v>
      </c>
    </row>
    <row r="472" spans="2:3" x14ac:dyDescent="0.25">
      <c r="B472" s="1" t="s">
        <v>362</v>
      </c>
    </row>
    <row r="474" spans="2:3" x14ac:dyDescent="0.25">
      <c r="B474" s="1" t="s">
        <v>370</v>
      </c>
      <c r="C474" s="1">
        <f>D416</f>
        <v>5000</v>
      </c>
    </row>
    <row r="475" spans="2:3" x14ac:dyDescent="0.25">
      <c r="B475" s="1" t="s">
        <v>345</v>
      </c>
      <c r="C475" s="69">
        <f>D428</f>
        <v>685.5</v>
      </c>
    </row>
    <row r="476" spans="2:3" ht="30" x14ac:dyDescent="0.25">
      <c r="B476" s="143" t="s">
        <v>364</v>
      </c>
      <c r="C476" s="1">
        <f>C474-C475</f>
        <v>4314.5</v>
      </c>
    </row>
    <row r="477" spans="2:3" ht="30" x14ac:dyDescent="0.25">
      <c r="B477" s="143" t="s">
        <v>363</v>
      </c>
      <c r="C477" s="1">
        <f>C476*0.2</f>
        <v>862.90000000000009</v>
      </c>
    </row>
    <row r="478" spans="2:3" x14ac:dyDescent="0.25">
      <c r="B478" s="1" t="s">
        <v>346</v>
      </c>
      <c r="C478" s="69">
        <f>C476*0.09</f>
        <v>388.30500000000001</v>
      </c>
    </row>
    <row r="479" spans="2:3" x14ac:dyDescent="0.25">
      <c r="B479" s="1" t="s">
        <v>365</v>
      </c>
      <c r="C479" s="1">
        <f>ROUND(C476-C477,0)</f>
        <v>3452</v>
      </c>
    </row>
    <row r="480" spans="2:3" x14ac:dyDescent="0.25">
      <c r="B480" s="1" t="s">
        <v>367</v>
      </c>
      <c r="C480" s="1">
        <f>C479*0.12</f>
        <v>414.24</v>
      </c>
    </row>
    <row r="481" spans="1:11" x14ac:dyDescent="0.25">
      <c r="B481" s="1" t="s">
        <v>366</v>
      </c>
      <c r="C481" s="1">
        <v>300</v>
      </c>
    </row>
    <row r="482" spans="1:11" x14ac:dyDescent="0.25">
      <c r="B482" s="1" t="s">
        <v>368</v>
      </c>
      <c r="C482" s="1">
        <f>ROUND(C480-C481,0)</f>
        <v>114</v>
      </c>
    </row>
    <row r="483" spans="1:11" x14ac:dyDescent="0.25">
      <c r="B483" s="1" t="s">
        <v>245</v>
      </c>
      <c r="C483" s="1">
        <f>C474-C475-C478-C482</f>
        <v>3812.1950000000002</v>
      </c>
      <c r="D483" s="26">
        <f>D435-C483</f>
        <v>-68</v>
      </c>
    </row>
    <row r="485" spans="1:11" x14ac:dyDescent="0.25">
      <c r="B485" s="3" t="s">
        <v>371</v>
      </c>
      <c r="C485" s="2"/>
      <c r="D485" s="71"/>
      <c r="E485" s="26"/>
    </row>
    <row r="486" spans="1:11" x14ac:dyDescent="0.25">
      <c r="E486" s="26"/>
    </row>
    <row r="487" spans="1:11" x14ac:dyDescent="0.25">
      <c r="A487" s="26">
        <v>1</v>
      </c>
      <c r="B487" s="1" t="s">
        <v>394</v>
      </c>
      <c r="E487" s="26"/>
      <c r="H487" s="1">
        <v>500000</v>
      </c>
    </row>
    <row r="488" spans="1:11" x14ac:dyDescent="0.25">
      <c r="B488" s="1" t="s">
        <v>375</v>
      </c>
      <c r="E488" s="26"/>
    </row>
    <row r="489" spans="1:11" x14ac:dyDescent="0.25">
      <c r="A489" s="26">
        <v>2</v>
      </c>
      <c r="B489" s="1" t="s">
        <v>397</v>
      </c>
      <c r="E489" s="26"/>
      <c r="H489" s="1">
        <f>H487</f>
        <v>500000</v>
      </c>
    </row>
    <row r="490" spans="1:11" x14ac:dyDescent="0.25">
      <c r="B490" s="1" t="s">
        <v>374</v>
      </c>
      <c r="E490" s="26"/>
    </row>
    <row r="491" spans="1:11" x14ac:dyDescent="0.25">
      <c r="A491" s="26">
        <v>3</v>
      </c>
      <c r="B491" s="1" t="s">
        <v>395</v>
      </c>
      <c r="E491" s="26"/>
    </row>
    <row r="492" spans="1:11" x14ac:dyDescent="0.25">
      <c r="A492" s="26" t="s">
        <v>310</v>
      </c>
      <c r="B492" s="1" t="s">
        <v>399</v>
      </c>
    </row>
    <row r="493" spans="1:11" x14ac:dyDescent="0.25">
      <c r="F493" s="26" t="s">
        <v>404</v>
      </c>
    </row>
    <row r="494" spans="1:11" x14ac:dyDescent="0.25">
      <c r="A494" s="28"/>
      <c r="B494" s="4" t="s">
        <v>6</v>
      </c>
      <c r="C494" s="4"/>
      <c r="D494" s="28"/>
      <c r="F494" s="120"/>
      <c r="G494" s="119" t="s">
        <v>376</v>
      </c>
      <c r="H494" s="119"/>
      <c r="I494" s="120"/>
    </row>
    <row r="495" spans="1:11" x14ac:dyDescent="0.25">
      <c r="A495" s="26">
        <f>A487</f>
        <v>1</v>
      </c>
      <c r="B495" s="1">
        <f>H487</f>
        <v>500000</v>
      </c>
      <c r="C495" s="5">
        <f>B495</f>
        <v>500000</v>
      </c>
      <c r="D495" s="26">
        <f>A489</f>
        <v>2</v>
      </c>
      <c r="F495" s="51" t="str">
        <f>A492</f>
        <v>3a</v>
      </c>
      <c r="G495" s="35">
        <f>G502</f>
        <v>8333.3333333333339</v>
      </c>
      <c r="H495" s="121">
        <f>B495</f>
        <v>500000</v>
      </c>
      <c r="I495" s="51">
        <f>A495</f>
        <v>1</v>
      </c>
    </row>
    <row r="496" spans="1:11" x14ac:dyDescent="0.25">
      <c r="C496" s="6"/>
      <c r="F496" s="70" t="s">
        <v>406</v>
      </c>
      <c r="G496" s="69"/>
      <c r="H496" s="66"/>
      <c r="I496" s="70"/>
      <c r="J496" s="70"/>
      <c r="K496" s="69"/>
    </row>
    <row r="497" spans="1:11" x14ac:dyDescent="0.25">
      <c r="C497" s="6"/>
      <c r="F497" s="70" t="s">
        <v>407</v>
      </c>
      <c r="G497" s="69"/>
      <c r="H497" s="66"/>
      <c r="I497" s="70"/>
      <c r="J497" s="70"/>
      <c r="K497" s="69"/>
    </row>
    <row r="498" spans="1:11" x14ac:dyDescent="0.25">
      <c r="C498" s="6"/>
      <c r="H498" s="6"/>
    </row>
    <row r="499" spans="1:11" x14ac:dyDescent="0.25">
      <c r="C499" s="6"/>
      <c r="H499" s="6"/>
    </row>
    <row r="501" spans="1:11" x14ac:dyDescent="0.25">
      <c r="A501" s="28"/>
      <c r="B501" s="4" t="s">
        <v>405</v>
      </c>
      <c r="C501" s="4"/>
      <c r="D501" s="28"/>
      <c r="F501" s="28"/>
      <c r="G501" s="4" t="s">
        <v>111</v>
      </c>
      <c r="H501" s="4"/>
      <c r="I501" s="28"/>
    </row>
    <row r="502" spans="1:11" x14ac:dyDescent="0.25">
      <c r="A502" s="26">
        <f>A489</f>
        <v>2</v>
      </c>
      <c r="B502" s="1">
        <f>H489</f>
        <v>500000</v>
      </c>
      <c r="C502" s="5"/>
      <c r="F502" s="26">
        <f>A491</f>
        <v>3</v>
      </c>
      <c r="G502" s="1">
        <f>B502*0.2/12</f>
        <v>8333.3333333333339</v>
      </c>
      <c r="H502" s="5">
        <f>G502</f>
        <v>8333.3333333333339</v>
      </c>
    </row>
    <row r="503" spans="1:11" x14ac:dyDescent="0.25">
      <c r="C503" s="6"/>
      <c r="H503" s="6"/>
    </row>
    <row r="504" spans="1:11" x14ac:dyDescent="0.25">
      <c r="C504" s="6"/>
      <c r="H504" s="6"/>
    </row>
    <row r="505" spans="1:11" x14ac:dyDescent="0.25">
      <c r="C505" s="6"/>
      <c r="H505" s="6"/>
    </row>
    <row r="506" spans="1:11" x14ac:dyDescent="0.25">
      <c r="C506" s="6"/>
      <c r="H506" s="6"/>
    </row>
    <row r="508" spans="1:11" x14ac:dyDescent="0.25">
      <c r="A508" s="28"/>
      <c r="B508" s="4" t="s">
        <v>112</v>
      </c>
      <c r="C508" s="4"/>
      <c r="D508" s="28"/>
      <c r="F508" s="28"/>
      <c r="G508" s="4" t="s">
        <v>378</v>
      </c>
      <c r="H508" s="4"/>
      <c r="I508" s="28"/>
    </row>
    <row r="509" spans="1:11" x14ac:dyDescent="0.25">
      <c r="C509" s="5">
        <f>G502</f>
        <v>8333.3333333333339</v>
      </c>
      <c r="D509" s="26">
        <f>F502</f>
        <v>3</v>
      </c>
      <c r="G509" s="1">
        <f>H509</f>
        <v>8333.3333333333339</v>
      </c>
      <c r="H509" s="5">
        <f>G495</f>
        <v>8333.3333333333339</v>
      </c>
      <c r="I509" s="26" t="str">
        <f>F495</f>
        <v>3a</v>
      </c>
    </row>
    <row r="510" spans="1:11" x14ac:dyDescent="0.25">
      <c r="C510" s="6"/>
      <c r="H510" s="6"/>
    </row>
    <row r="511" spans="1:11" x14ac:dyDescent="0.25">
      <c r="C511" s="6"/>
      <c r="H511" s="6"/>
    </row>
    <row r="512" spans="1:11" x14ac:dyDescent="0.25">
      <c r="C512" s="6"/>
      <c r="H512" s="6"/>
    </row>
    <row r="513" spans="1:9" x14ac:dyDescent="0.25">
      <c r="C513" s="6"/>
      <c r="H513" s="6"/>
    </row>
    <row r="515" spans="1:9" x14ac:dyDescent="0.25">
      <c r="A515" s="28"/>
      <c r="B515" s="4" t="s">
        <v>408</v>
      </c>
      <c r="C515" s="4"/>
      <c r="D515" s="28"/>
    </row>
    <row r="516" spans="1:9" x14ac:dyDescent="0.25">
      <c r="B516" s="7">
        <f>H502</f>
        <v>8333.3333333333339</v>
      </c>
      <c r="C516" s="8">
        <f>G509</f>
        <v>8333.3333333333339</v>
      </c>
    </row>
    <row r="517" spans="1:9" ht="17.25" x14ac:dyDescent="0.4">
      <c r="B517" s="10">
        <f>B516</f>
        <v>8333.3333333333339</v>
      </c>
      <c r="C517" s="11">
        <f>C516</f>
        <v>8333.3333333333339</v>
      </c>
    </row>
    <row r="518" spans="1:9" x14ac:dyDescent="0.25">
      <c r="C518" s="6"/>
    </row>
    <row r="519" spans="1:9" x14ac:dyDescent="0.25">
      <c r="C519" s="6"/>
    </row>
    <row r="520" spans="1:9" x14ac:dyDescent="0.25">
      <c r="C520" s="6"/>
    </row>
    <row r="523" spans="1:9" x14ac:dyDescent="0.25">
      <c r="B523" s="26">
        <v>1</v>
      </c>
      <c r="C523" s="1" t="s">
        <v>383</v>
      </c>
      <c r="D523" s="1"/>
      <c r="G523" s="1">
        <v>1000</v>
      </c>
      <c r="I523" s="1"/>
    </row>
    <row r="524" spans="1:9" x14ac:dyDescent="0.25">
      <c r="B524" s="26">
        <v>2</v>
      </c>
      <c r="C524" s="1" t="s">
        <v>384</v>
      </c>
      <c r="D524" s="1"/>
      <c r="G524" s="1">
        <v>1500</v>
      </c>
      <c r="I524" s="1"/>
    </row>
    <row r="525" spans="1:9" x14ac:dyDescent="0.25">
      <c r="B525" s="26">
        <v>3</v>
      </c>
      <c r="C525" s="1" t="s">
        <v>385</v>
      </c>
      <c r="D525" s="1"/>
      <c r="G525" s="1">
        <v>2000</v>
      </c>
      <c r="I525" s="1"/>
    </row>
    <row r="526" spans="1:9" x14ac:dyDescent="0.25">
      <c r="B526" s="26"/>
      <c r="C526" s="1" t="s">
        <v>386</v>
      </c>
      <c r="D526" s="1"/>
      <c r="F526" s="1"/>
      <c r="I526" s="1"/>
    </row>
    <row r="527" spans="1:9" x14ac:dyDescent="0.25">
      <c r="B527" s="26"/>
      <c r="C527" s="1" t="s">
        <v>387</v>
      </c>
      <c r="D527" s="1"/>
      <c r="F527" s="1"/>
      <c r="I527" s="1"/>
    </row>
    <row r="528" spans="1:9" x14ac:dyDescent="0.25">
      <c r="B528" s="26">
        <v>4</v>
      </c>
      <c r="C528" s="1" t="s">
        <v>388</v>
      </c>
      <c r="D528" s="1"/>
      <c r="F528" s="1"/>
      <c r="I528" s="1"/>
    </row>
    <row r="529" spans="2:10" x14ac:dyDescent="0.25">
      <c r="C529" s="1" t="s">
        <v>403</v>
      </c>
      <c r="D529" s="1"/>
      <c r="F529" s="1"/>
      <c r="I529" s="1"/>
    </row>
    <row r="530" spans="2:10" x14ac:dyDescent="0.25">
      <c r="B530" s="26"/>
      <c r="C530" s="1" t="s">
        <v>111</v>
      </c>
      <c r="D530" s="20">
        <v>0.5</v>
      </c>
      <c r="E530" s="1" t="s">
        <v>389</v>
      </c>
      <c r="F530" s="1"/>
      <c r="I530" s="1"/>
    </row>
    <row r="531" spans="2:10" x14ac:dyDescent="0.25">
      <c r="B531" s="26"/>
      <c r="D531" s="20">
        <v>0.4</v>
      </c>
      <c r="E531" s="1" t="s">
        <v>390</v>
      </c>
      <c r="F531" s="1"/>
      <c r="I531" s="1"/>
    </row>
    <row r="532" spans="2:10" x14ac:dyDescent="0.25">
      <c r="B532" s="26"/>
      <c r="D532" s="20">
        <v>0.1</v>
      </c>
      <c r="E532" s="1" t="s">
        <v>391</v>
      </c>
      <c r="F532" s="1"/>
      <c r="I532" s="1"/>
    </row>
    <row r="533" spans="2:10" x14ac:dyDescent="0.25">
      <c r="B533" s="26"/>
      <c r="C533" s="1" t="s">
        <v>258</v>
      </c>
      <c r="D533" s="20">
        <v>0.75</v>
      </c>
      <c r="E533" s="1" t="s">
        <v>389</v>
      </c>
      <c r="F533" s="1"/>
      <c r="I533" s="1"/>
    </row>
    <row r="534" spans="2:10" x14ac:dyDescent="0.25">
      <c r="B534" s="26"/>
      <c r="D534" s="20">
        <v>0.2</v>
      </c>
      <c r="E534" s="1" t="s">
        <v>390</v>
      </c>
      <c r="F534" s="1"/>
      <c r="I534" s="1"/>
    </row>
    <row r="535" spans="2:10" x14ac:dyDescent="0.25">
      <c r="B535" s="26"/>
      <c r="D535" s="20">
        <f>1-D533-D534</f>
        <v>4.9999999999999989E-2</v>
      </c>
      <c r="E535" s="1" t="s">
        <v>391</v>
      </c>
      <c r="F535" s="1"/>
      <c r="I535" s="1"/>
    </row>
    <row r="536" spans="2:10" x14ac:dyDescent="0.25">
      <c r="B536" s="26"/>
      <c r="C536" s="1" t="s">
        <v>119</v>
      </c>
      <c r="D536" s="20">
        <v>0.6</v>
      </c>
      <c r="E536" s="1" t="s">
        <v>389</v>
      </c>
      <c r="F536" s="1"/>
      <c r="I536" s="1"/>
    </row>
    <row r="537" spans="2:10" x14ac:dyDescent="0.25">
      <c r="B537" s="26"/>
      <c r="D537" s="20">
        <v>0.2</v>
      </c>
      <c r="E537" s="1" t="s">
        <v>390</v>
      </c>
      <c r="F537" s="1"/>
      <c r="I537" s="1"/>
    </row>
    <row r="538" spans="2:10" x14ac:dyDescent="0.25">
      <c r="B538" s="26"/>
      <c r="D538" s="20">
        <v>0.2</v>
      </c>
      <c r="E538" s="1" t="s">
        <v>391</v>
      </c>
      <c r="F538" s="1"/>
      <c r="I538" s="1"/>
    </row>
    <row r="539" spans="2:10" x14ac:dyDescent="0.25">
      <c r="B539" s="26"/>
      <c r="D539" s="1"/>
      <c r="E539" s="26"/>
      <c r="F539" s="1"/>
      <c r="I539" s="1"/>
    </row>
    <row r="540" spans="2:10" x14ac:dyDescent="0.25">
      <c r="B540" s="28"/>
      <c r="C540" s="4" t="str">
        <f>C530</f>
        <v>Amortyzacja</v>
      </c>
      <c r="D540" s="4"/>
      <c r="E540" s="28"/>
      <c r="F540" s="1"/>
      <c r="G540" s="4"/>
      <c r="H540" s="4" t="s">
        <v>112</v>
      </c>
      <c r="I540" s="4"/>
      <c r="J540" s="28"/>
    </row>
    <row r="541" spans="2:10" x14ac:dyDescent="0.25">
      <c r="B541" s="26">
        <f>B523</f>
        <v>1</v>
      </c>
      <c r="C541" s="1">
        <f>G523</f>
        <v>1000</v>
      </c>
      <c r="D541" s="5"/>
      <c r="E541" s="26"/>
      <c r="F541" s="1"/>
      <c r="I541" s="5">
        <f>C541</f>
        <v>1000</v>
      </c>
      <c r="J541" s="26">
        <f>B541</f>
        <v>1</v>
      </c>
    </row>
    <row r="542" spans="2:10" x14ac:dyDescent="0.25">
      <c r="B542" s="26"/>
      <c r="D542" s="6"/>
      <c r="E542" s="26"/>
      <c r="F542" s="1"/>
      <c r="I542" s="6"/>
    </row>
    <row r="543" spans="2:10" x14ac:dyDescent="0.25">
      <c r="B543" s="26"/>
      <c r="D543" s="6"/>
      <c r="E543" s="26"/>
      <c r="F543" s="1"/>
      <c r="I543" s="6"/>
    </row>
    <row r="544" spans="2:10" x14ac:dyDescent="0.25">
      <c r="B544" s="26"/>
      <c r="D544" s="6"/>
      <c r="E544" s="26"/>
      <c r="F544" s="1"/>
      <c r="I544" s="6"/>
    </row>
    <row r="545" spans="2:10" x14ac:dyDescent="0.25">
      <c r="B545" s="26"/>
      <c r="D545" s="6"/>
      <c r="E545" s="26"/>
      <c r="F545" s="1"/>
      <c r="I545" s="6"/>
    </row>
    <row r="546" spans="2:10" x14ac:dyDescent="0.25">
      <c r="B546" s="26"/>
      <c r="D546" s="1"/>
      <c r="E546" s="26"/>
      <c r="F546" s="1"/>
      <c r="I546" s="1"/>
    </row>
    <row r="547" spans="2:10" x14ac:dyDescent="0.25">
      <c r="B547" s="26"/>
      <c r="D547" s="1"/>
      <c r="E547" s="26"/>
      <c r="F547" s="1"/>
      <c r="I547" s="1"/>
    </row>
    <row r="548" spans="2:10" x14ac:dyDescent="0.25">
      <c r="B548" s="28"/>
      <c r="C548" s="4" t="str">
        <f>C533</f>
        <v>Zużycie materiałów i energii</v>
      </c>
      <c r="D548" s="4"/>
      <c r="E548" s="28"/>
      <c r="F548" s="1"/>
      <c r="G548" s="4"/>
      <c r="H548" s="4" t="s">
        <v>104</v>
      </c>
      <c r="I548" s="4"/>
      <c r="J548" s="28"/>
    </row>
    <row r="549" spans="2:10" x14ac:dyDescent="0.25">
      <c r="B549" s="26">
        <f>B524</f>
        <v>2</v>
      </c>
      <c r="C549" s="1">
        <f>G524</f>
        <v>1500</v>
      </c>
      <c r="D549" s="5"/>
      <c r="E549" s="26"/>
      <c r="F549" s="1"/>
      <c r="I549" s="5">
        <f>C549</f>
        <v>1500</v>
      </c>
      <c r="J549" s="26">
        <f>B549</f>
        <v>2</v>
      </c>
    </row>
    <row r="550" spans="2:10" x14ac:dyDescent="0.25">
      <c r="B550" s="26"/>
      <c r="D550" s="6"/>
      <c r="E550" s="26"/>
      <c r="F550" s="1"/>
      <c r="I550" s="6">
        <f>C557</f>
        <v>2000</v>
      </c>
      <c r="J550" s="26">
        <f>B557</f>
        <v>3</v>
      </c>
    </row>
    <row r="551" spans="2:10" x14ac:dyDescent="0.25">
      <c r="B551" s="26"/>
      <c r="D551" s="6"/>
      <c r="E551" s="26"/>
      <c r="F551" s="1"/>
      <c r="I551" s="6"/>
    </row>
    <row r="552" spans="2:10" x14ac:dyDescent="0.25">
      <c r="B552" s="26"/>
      <c r="D552" s="6"/>
      <c r="E552" s="26"/>
      <c r="F552" s="1"/>
      <c r="I552" s="6"/>
    </row>
    <row r="553" spans="2:10" x14ac:dyDescent="0.25">
      <c r="B553" s="26"/>
      <c r="D553" s="6"/>
      <c r="E553" s="26"/>
      <c r="F553" s="1"/>
      <c r="I553" s="6"/>
    </row>
    <row r="554" spans="2:10" x14ac:dyDescent="0.25">
      <c r="B554" s="26"/>
      <c r="D554" s="1"/>
      <c r="E554" s="26"/>
      <c r="F554" s="1"/>
      <c r="I554" s="1"/>
    </row>
    <row r="555" spans="2:10" x14ac:dyDescent="0.25">
      <c r="B555" s="26"/>
      <c r="D555" s="1"/>
      <c r="E555" s="26"/>
      <c r="F555" s="1"/>
      <c r="I555" s="1"/>
    </row>
    <row r="556" spans="2:10" x14ac:dyDescent="0.25">
      <c r="B556" s="28"/>
      <c r="C556" s="4" t="str">
        <f>C536</f>
        <v>Usługi obce</v>
      </c>
      <c r="D556" s="4"/>
      <c r="E556" s="28"/>
      <c r="F556" s="1"/>
      <c r="G556" s="4"/>
      <c r="H556" s="4" t="s">
        <v>402</v>
      </c>
      <c r="I556" s="4"/>
      <c r="J556" s="28"/>
    </row>
    <row r="557" spans="2:10" x14ac:dyDescent="0.25">
      <c r="B557" s="26">
        <f>B525</f>
        <v>3</v>
      </c>
      <c r="C557" s="1">
        <f>G525</f>
        <v>2000</v>
      </c>
      <c r="D557" s="5"/>
      <c r="E557" s="26"/>
      <c r="F557" s="1"/>
      <c r="I557" s="5">
        <f>C541</f>
        <v>1000</v>
      </c>
      <c r="J557" s="26">
        <v>4</v>
      </c>
    </row>
    <row r="558" spans="2:10" x14ac:dyDescent="0.25">
      <c r="B558" s="26"/>
      <c r="D558" s="6"/>
      <c r="E558" s="26"/>
      <c r="F558" s="1"/>
      <c r="I558" s="6"/>
    </row>
    <row r="559" spans="2:10" x14ac:dyDescent="0.25">
      <c r="B559" s="26"/>
      <c r="D559" s="6"/>
      <c r="E559" s="26"/>
      <c r="F559" s="1"/>
      <c r="I559" s="6"/>
    </row>
    <row r="560" spans="2:10" x14ac:dyDescent="0.25">
      <c r="B560" s="26"/>
      <c r="D560" s="6"/>
      <c r="E560" s="26"/>
      <c r="F560" s="1"/>
      <c r="I560" s="6"/>
    </row>
    <row r="561" spans="2:10" x14ac:dyDescent="0.25">
      <c r="B561" s="26"/>
      <c r="D561" s="6"/>
      <c r="E561" s="26"/>
      <c r="F561" s="1"/>
      <c r="I561" s="6"/>
    </row>
    <row r="562" spans="2:10" x14ac:dyDescent="0.25">
      <c r="B562" s="26"/>
      <c r="D562" s="1"/>
      <c r="E562" s="26"/>
      <c r="F562" s="1"/>
      <c r="I562" s="1"/>
    </row>
    <row r="563" spans="2:10" x14ac:dyDescent="0.25">
      <c r="B563" s="26"/>
      <c r="D563" s="1"/>
      <c r="E563" s="26"/>
      <c r="F563" s="1"/>
      <c r="I563" s="1"/>
    </row>
    <row r="564" spans="2:10" x14ac:dyDescent="0.25">
      <c r="B564" s="28"/>
      <c r="C564" s="4" t="str">
        <f>E530</f>
        <v>koszty produkcji podstawowej</v>
      </c>
      <c r="D564" s="4"/>
      <c r="E564" s="28"/>
      <c r="F564" s="1"/>
      <c r="G564" s="4"/>
      <c r="H564" s="4" t="str">
        <f>E531</f>
        <v>koszty sprzedaży</v>
      </c>
      <c r="I564" s="4"/>
      <c r="J564" s="28"/>
    </row>
    <row r="565" spans="2:10" x14ac:dyDescent="0.25">
      <c r="B565" s="26">
        <f>J557</f>
        <v>4</v>
      </c>
      <c r="C565" s="1">
        <f>I557*D530</f>
        <v>500</v>
      </c>
      <c r="D565" s="5"/>
      <c r="E565" s="26"/>
      <c r="F565" s="1"/>
      <c r="H565" s="1">
        <f>I557*D531</f>
        <v>400</v>
      </c>
      <c r="I565" s="5"/>
    </row>
    <row r="566" spans="2:10" x14ac:dyDescent="0.25">
      <c r="B566" s="26"/>
      <c r="D566" s="6"/>
      <c r="E566" s="26"/>
      <c r="F566" s="1"/>
      <c r="I566" s="6"/>
    </row>
    <row r="567" spans="2:10" x14ac:dyDescent="0.25">
      <c r="B567" s="26"/>
      <c r="D567" s="6"/>
      <c r="E567" s="26"/>
      <c r="F567" s="1"/>
      <c r="I567" s="6"/>
    </row>
    <row r="568" spans="2:10" x14ac:dyDescent="0.25">
      <c r="B568" s="26"/>
      <c r="D568" s="6"/>
      <c r="E568" s="26"/>
      <c r="F568" s="1"/>
      <c r="I568" s="6"/>
    </row>
    <row r="569" spans="2:10" x14ac:dyDescent="0.25">
      <c r="B569" s="26"/>
      <c r="D569" s="6"/>
      <c r="E569" s="26"/>
      <c r="F569" s="1"/>
      <c r="I569" s="6"/>
    </row>
    <row r="570" spans="2:10" x14ac:dyDescent="0.25">
      <c r="B570" s="26"/>
      <c r="D570" s="1"/>
      <c r="E570" s="26"/>
      <c r="F570" s="1"/>
      <c r="I570" s="1"/>
    </row>
    <row r="571" spans="2:10" x14ac:dyDescent="0.25">
      <c r="B571" s="28"/>
      <c r="C571" s="4" t="str">
        <f>E532</f>
        <v>koszty zarządu</v>
      </c>
      <c r="D571" s="4"/>
      <c r="E571" s="28"/>
      <c r="F571" s="1"/>
      <c r="G571" s="4"/>
      <c r="H571" s="4"/>
      <c r="I571" s="4"/>
      <c r="J571" s="28"/>
    </row>
    <row r="572" spans="2:10" x14ac:dyDescent="0.25">
      <c r="B572" s="26"/>
      <c r="C572" s="1">
        <f>I557*D532</f>
        <v>100</v>
      </c>
      <c r="D572" s="5"/>
      <c r="E572" s="26"/>
      <c r="F572" s="1"/>
      <c r="I572" s="5"/>
    </row>
    <row r="573" spans="2:10" x14ac:dyDescent="0.25">
      <c r="B573" s="26"/>
      <c r="D573" s="6"/>
      <c r="E573" s="26"/>
      <c r="F573" s="1"/>
      <c r="I573" s="6"/>
    </row>
    <row r="574" spans="2:10" x14ac:dyDescent="0.25">
      <c r="B574" s="26"/>
      <c r="D574" s="6"/>
      <c r="E574" s="26"/>
      <c r="F574" s="1"/>
      <c r="I574" s="6"/>
    </row>
    <row r="575" spans="2:10" x14ac:dyDescent="0.25">
      <c r="B575" s="27" t="s">
        <v>409</v>
      </c>
      <c r="C575" s="2"/>
      <c r="D575" s="2"/>
      <c r="E575" s="27"/>
      <c r="F575" s="27"/>
      <c r="I575" s="6"/>
    </row>
    <row r="576" spans="2:10" x14ac:dyDescent="0.25">
      <c r="B576" s="27" t="s">
        <v>410</v>
      </c>
      <c r="D576" s="1"/>
      <c r="E576" s="26"/>
      <c r="F576" s="1"/>
      <c r="I576" s="6"/>
    </row>
    <row r="578" spans="2:10" x14ac:dyDescent="0.25">
      <c r="B578" s="28"/>
      <c r="C578" s="4" t="s">
        <v>6</v>
      </c>
      <c r="D578" s="4"/>
      <c r="E578" s="28"/>
      <c r="F578" s="1"/>
      <c r="G578" s="4" t="s">
        <v>376</v>
      </c>
      <c r="H578" s="4"/>
      <c r="I578" s="4"/>
      <c r="J578" s="28"/>
    </row>
    <row r="579" spans="2:10" x14ac:dyDescent="0.25">
      <c r="B579" s="26" t="s">
        <v>2</v>
      </c>
      <c r="C579" s="1">
        <v>5000000</v>
      </c>
      <c r="D579" s="5">
        <f>C579</f>
        <v>5000000</v>
      </c>
      <c r="E579" s="26" t="s">
        <v>7</v>
      </c>
      <c r="F579" s="1"/>
      <c r="G579" s="1" t="str">
        <f>E610</f>
        <v>4a)</v>
      </c>
      <c r="H579" s="1">
        <f>D610</f>
        <v>83333.333333333328</v>
      </c>
      <c r="I579" s="5">
        <f>C579</f>
        <v>5000000</v>
      </c>
      <c r="J579" s="26" t="str">
        <f>B579</f>
        <v>1)</v>
      </c>
    </row>
    <row r="580" spans="2:10" x14ac:dyDescent="0.25">
      <c r="B580" s="26"/>
      <c r="D580" s="6"/>
      <c r="E580" s="26"/>
      <c r="F580" s="1"/>
      <c r="I580" s="6"/>
    </row>
    <row r="581" spans="2:10" x14ac:dyDescent="0.25">
      <c r="B581" s="26"/>
      <c r="D581" s="6"/>
      <c r="E581" s="26"/>
      <c r="F581" s="1"/>
      <c r="I581" s="6"/>
    </row>
    <row r="582" spans="2:10" x14ac:dyDescent="0.25">
      <c r="B582" s="26"/>
      <c r="D582" s="6"/>
      <c r="E582" s="26"/>
      <c r="F582" s="1"/>
      <c r="I582" s="6"/>
    </row>
    <row r="583" spans="2:10" x14ac:dyDescent="0.25">
      <c r="B583" s="26"/>
      <c r="D583" s="6"/>
      <c r="E583" s="26"/>
      <c r="F583" s="1"/>
      <c r="I583" s="6"/>
    </row>
    <row r="584" spans="2:10" x14ac:dyDescent="0.25">
      <c r="B584" s="26"/>
      <c r="D584" s="1"/>
      <c r="E584" s="26"/>
      <c r="F584" s="1"/>
      <c r="I584" s="1"/>
    </row>
    <row r="585" spans="2:10" x14ac:dyDescent="0.25">
      <c r="B585" s="26"/>
      <c r="D585" s="1"/>
      <c r="E585" s="26"/>
      <c r="F585" s="1"/>
      <c r="I585" s="1"/>
    </row>
    <row r="586" spans="2:10" x14ac:dyDescent="0.25">
      <c r="B586" s="28"/>
      <c r="C586" s="4" t="s">
        <v>99</v>
      </c>
      <c r="D586" s="4"/>
      <c r="E586" s="28"/>
      <c r="F586" s="1"/>
      <c r="G586" s="4"/>
      <c r="H586" s="4" t="s">
        <v>104</v>
      </c>
      <c r="I586" s="4"/>
      <c r="J586" s="28"/>
    </row>
    <row r="587" spans="2:10" x14ac:dyDescent="0.25">
      <c r="B587" s="26" t="str">
        <f>E579</f>
        <v>2)</v>
      </c>
      <c r="C587" s="1">
        <f>D579</f>
        <v>5000000</v>
      </c>
      <c r="D587" s="5"/>
      <c r="E587" s="26"/>
      <c r="F587" s="1"/>
      <c r="I587" s="63">
        <v>3000000</v>
      </c>
      <c r="J587" s="50" t="s">
        <v>9</v>
      </c>
    </row>
    <row r="588" spans="2:10" x14ac:dyDescent="0.25">
      <c r="B588" s="26"/>
      <c r="D588" s="6"/>
      <c r="E588" s="26"/>
      <c r="F588" s="1"/>
      <c r="I588" s="49" t="s">
        <v>442</v>
      </c>
    </row>
    <row r="589" spans="2:10" x14ac:dyDescent="0.25">
      <c r="B589" s="26"/>
      <c r="D589" s="6"/>
      <c r="E589" s="26"/>
      <c r="F589" s="1"/>
      <c r="I589" s="6"/>
    </row>
    <row r="590" spans="2:10" x14ac:dyDescent="0.25">
      <c r="B590" s="26"/>
      <c r="D590" s="6"/>
      <c r="E590" s="26"/>
      <c r="F590" s="1"/>
      <c r="I590" s="6"/>
    </row>
    <row r="591" spans="2:10" x14ac:dyDescent="0.25">
      <c r="B591" s="26"/>
      <c r="D591" s="6"/>
      <c r="E591" s="26"/>
      <c r="F591" s="1"/>
      <c r="I591" s="6"/>
    </row>
    <row r="592" spans="2:10" x14ac:dyDescent="0.25">
      <c r="B592" s="26"/>
      <c r="D592" s="1"/>
      <c r="E592" s="26"/>
      <c r="F592" s="1"/>
      <c r="I592" s="1"/>
    </row>
    <row r="593" spans="2:10" x14ac:dyDescent="0.25">
      <c r="B593" s="26"/>
      <c r="C593" s="1" t="s">
        <v>446</v>
      </c>
      <c r="D593" s="1"/>
      <c r="E593" s="26"/>
      <c r="F593" s="1"/>
      <c r="I593" s="1"/>
    </row>
    <row r="594" spans="2:10" x14ac:dyDescent="0.25">
      <c r="B594" s="28"/>
      <c r="C594" s="4" t="s">
        <v>444</v>
      </c>
      <c r="D594" s="4"/>
      <c r="E594" s="28"/>
      <c r="F594" s="1"/>
      <c r="G594" s="4"/>
      <c r="H594" s="4" t="s">
        <v>119</v>
      </c>
      <c r="I594" s="4"/>
      <c r="J594" s="28"/>
    </row>
    <row r="595" spans="2:10" x14ac:dyDescent="0.25">
      <c r="B595" s="50" t="str">
        <f>J587</f>
        <v>3)</v>
      </c>
      <c r="C595" s="38">
        <f>I587</f>
        <v>3000000</v>
      </c>
      <c r="D595" s="63">
        <f>H595</f>
        <v>1000000</v>
      </c>
      <c r="E595" s="50" t="str">
        <f>G595</f>
        <v>3a)</v>
      </c>
      <c r="F595" s="1"/>
      <c r="G595" s="38" t="s">
        <v>292</v>
      </c>
      <c r="H595" s="38">
        <f>C595/3</f>
        <v>1000000</v>
      </c>
      <c r="I595" s="5"/>
    </row>
    <row r="596" spans="2:10" x14ac:dyDescent="0.25">
      <c r="B596" s="26"/>
      <c r="D596" s="6"/>
      <c r="E596" s="26"/>
      <c r="F596" s="1"/>
      <c r="I596" s="6"/>
    </row>
    <row r="597" spans="2:10" x14ac:dyDescent="0.25">
      <c r="B597" s="26"/>
      <c r="D597" s="6"/>
      <c r="E597" s="26"/>
      <c r="F597" s="1"/>
      <c r="I597" s="6"/>
    </row>
    <row r="598" spans="2:10" x14ac:dyDescent="0.25">
      <c r="B598" s="26"/>
      <c r="D598" s="6"/>
      <c r="E598" s="26"/>
      <c r="F598" s="1"/>
      <c r="I598" s="6"/>
    </row>
    <row r="599" spans="2:10" x14ac:dyDescent="0.25">
      <c r="B599" s="26"/>
      <c r="D599" s="6"/>
      <c r="E599" s="26"/>
      <c r="F599" s="1"/>
      <c r="I599" s="6"/>
    </row>
    <row r="600" spans="2:10" x14ac:dyDescent="0.25">
      <c r="B600" s="26"/>
      <c r="D600" s="1"/>
      <c r="E600" s="26"/>
      <c r="F600" s="1"/>
      <c r="I600" s="1"/>
    </row>
    <row r="601" spans="2:10" x14ac:dyDescent="0.25">
      <c r="B601" s="26"/>
      <c r="D601" s="1"/>
      <c r="E601" s="26"/>
      <c r="F601" s="1"/>
      <c r="I601" s="1"/>
    </row>
    <row r="602" spans="2:10" x14ac:dyDescent="0.25">
      <c r="B602" s="28"/>
      <c r="C602" s="4" t="s">
        <v>111</v>
      </c>
      <c r="D602" s="4"/>
      <c r="E602" s="28"/>
      <c r="F602" s="1"/>
      <c r="G602" s="4"/>
      <c r="H602" s="4" t="s">
        <v>112</v>
      </c>
      <c r="I602" s="4"/>
      <c r="J602" s="28"/>
    </row>
    <row r="603" spans="2:10" x14ac:dyDescent="0.25">
      <c r="B603" s="71" t="s">
        <v>28</v>
      </c>
      <c r="C603" s="2">
        <f>C587/5/12</f>
        <v>83333.333333333328</v>
      </c>
      <c r="D603" s="5"/>
      <c r="E603" s="26"/>
      <c r="F603" s="1"/>
      <c r="I603" s="5">
        <f>C603</f>
        <v>83333.333333333328</v>
      </c>
      <c r="J603" s="26" t="str">
        <f>B603</f>
        <v>4)</v>
      </c>
    </row>
    <row r="604" spans="2:10" x14ac:dyDescent="0.25">
      <c r="B604" s="26"/>
      <c r="D604" s="6"/>
      <c r="E604" s="26"/>
      <c r="F604" s="1"/>
      <c r="I604" s="6"/>
    </row>
    <row r="605" spans="2:10" x14ac:dyDescent="0.25">
      <c r="B605" s="26"/>
      <c r="D605" s="6"/>
      <c r="E605" s="26"/>
      <c r="F605" s="1"/>
      <c r="I605" s="6"/>
    </row>
    <row r="606" spans="2:10" x14ac:dyDescent="0.25">
      <c r="B606" s="26"/>
      <c r="D606" s="6"/>
      <c r="E606" s="26"/>
      <c r="F606" s="1"/>
      <c r="I606" s="6"/>
    </row>
    <row r="607" spans="2:10" x14ac:dyDescent="0.25">
      <c r="B607" s="26"/>
      <c r="D607" s="6"/>
      <c r="E607" s="26"/>
      <c r="F607" s="1"/>
      <c r="I607" s="6"/>
    </row>
    <row r="609" spans="2:10" x14ac:dyDescent="0.25">
      <c r="B609" s="28"/>
      <c r="C609" s="4" t="s">
        <v>378</v>
      </c>
      <c r="D609" s="4"/>
      <c r="E609" s="28"/>
      <c r="F609" s="1"/>
      <c r="G609" s="4"/>
      <c r="H609" s="4"/>
      <c r="I609" s="4"/>
      <c r="J609" s="28"/>
    </row>
    <row r="610" spans="2:10" x14ac:dyDescent="0.25">
      <c r="B610" s="26"/>
      <c r="D610" s="122">
        <f>C603</f>
        <v>83333.333333333328</v>
      </c>
      <c r="E610" s="71" t="s">
        <v>297</v>
      </c>
      <c r="F610" s="1"/>
      <c r="I610" s="5"/>
    </row>
    <row r="611" spans="2:10" x14ac:dyDescent="0.25">
      <c r="B611" s="26"/>
      <c r="D611" s="6" t="s">
        <v>445</v>
      </c>
      <c r="E611" s="26"/>
      <c r="F611" s="1"/>
      <c r="I611" s="6"/>
    </row>
    <row r="612" spans="2:10" x14ac:dyDescent="0.25">
      <c r="B612" s="26"/>
      <c r="D612" s="6"/>
      <c r="E612" s="26"/>
      <c r="F612" s="1"/>
      <c r="I612" s="6"/>
    </row>
    <row r="613" spans="2:10" x14ac:dyDescent="0.25">
      <c r="B613" s="26"/>
      <c r="D613" s="6"/>
      <c r="E613" s="26"/>
      <c r="F613" s="1"/>
      <c r="I613" s="6"/>
    </row>
    <row r="614" spans="2:10" x14ac:dyDescent="0.25">
      <c r="B614" s="26"/>
      <c r="D614" s="6"/>
      <c r="E614" s="26"/>
      <c r="F614" s="1"/>
      <c r="I614" s="6"/>
    </row>
    <row r="616" spans="2:10" x14ac:dyDescent="0.25">
      <c r="B616" s="27" t="s">
        <v>415</v>
      </c>
      <c r="C616" s="2"/>
      <c r="E616" s="33"/>
      <c r="F616" s="26" t="s">
        <v>441</v>
      </c>
    </row>
    <row r="618" spans="2:10" x14ac:dyDescent="0.25">
      <c r="B618" s="28"/>
      <c r="C618" s="76" t="s">
        <v>223</v>
      </c>
      <c r="D618" s="4"/>
      <c r="E618" s="28"/>
      <c r="F618" s="1"/>
      <c r="G618" s="4"/>
      <c r="H618" s="4" t="s">
        <v>139</v>
      </c>
      <c r="I618" s="4"/>
      <c r="J618" s="28"/>
    </row>
    <row r="619" spans="2:10" x14ac:dyDescent="0.25">
      <c r="B619" s="26"/>
      <c r="C619" s="1">
        <f>D619</f>
        <v>5000</v>
      </c>
      <c r="D619" s="152">
        <v>5000</v>
      </c>
      <c r="E619" s="60" t="s">
        <v>2</v>
      </c>
      <c r="F619" s="1"/>
      <c r="G619" s="1" t="str">
        <f>E619</f>
        <v>1)</v>
      </c>
      <c r="H619" s="1">
        <f>D619*1.23</f>
        <v>6150</v>
      </c>
      <c r="I619" s="5"/>
    </row>
    <row r="620" spans="2:10" x14ac:dyDescent="0.25">
      <c r="B620" s="26"/>
      <c r="D620" s="6"/>
      <c r="E620" s="26"/>
      <c r="F620" s="1"/>
      <c r="G620" s="1" t="str">
        <f>J649</f>
        <v>5)</v>
      </c>
      <c r="H620" s="1">
        <f>I649</f>
        <v>4000</v>
      </c>
      <c r="I620" s="6"/>
    </row>
    <row r="621" spans="2:10" x14ac:dyDescent="0.25">
      <c r="B621" s="26"/>
      <c r="D621" s="6"/>
      <c r="E621" s="26"/>
      <c r="F621" s="1"/>
      <c r="G621" s="1" t="str">
        <f>E663</f>
        <v>7)</v>
      </c>
      <c r="H621" s="1">
        <f>D663</f>
        <v>1500</v>
      </c>
      <c r="I621" s="6"/>
    </row>
    <row r="622" spans="2:10" x14ac:dyDescent="0.25">
      <c r="B622" s="26"/>
      <c r="D622" s="6"/>
      <c r="E622" s="26"/>
      <c r="F622" s="1"/>
      <c r="I622" s="6"/>
    </row>
    <row r="623" spans="2:10" x14ac:dyDescent="0.25">
      <c r="B623" s="26"/>
      <c r="D623" s="6"/>
      <c r="E623" s="26"/>
      <c r="F623" s="1"/>
      <c r="I623" s="6"/>
    </row>
    <row r="626" spans="2:11" x14ac:dyDescent="0.25">
      <c r="B626" s="28"/>
      <c r="C626" s="4" t="s">
        <v>141</v>
      </c>
      <c r="D626" s="4"/>
      <c r="E626" s="28"/>
      <c r="F626" s="1"/>
      <c r="G626" s="4"/>
      <c r="H626" s="4" t="s">
        <v>137</v>
      </c>
      <c r="I626" s="4"/>
      <c r="J626" s="28"/>
    </row>
    <row r="627" spans="2:11" x14ac:dyDescent="0.25">
      <c r="B627" s="26"/>
      <c r="D627" s="152">
        <f>H619-D619</f>
        <v>1150</v>
      </c>
      <c r="E627" s="60" t="str">
        <f>E619</f>
        <v>1)</v>
      </c>
      <c r="F627" s="1"/>
      <c r="G627" s="1" t="s">
        <v>101</v>
      </c>
      <c r="H627" s="1">
        <v>20000</v>
      </c>
      <c r="I627" s="5">
        <v>3000</v>
      </c>
      <c r="J627" s="26" t="s">
        <v>7</v>
      </c>
    </row>
    <row r="628" spans="2:11" x14ac:dyDescent="0.25">
      <c r="B628" s="26"/>
      <c r="D628" s="6"/>
      <c r="E628" s="26"/>
      <c r="F628" s="1"/>
      <c r="I628" s="36">
        <f>H663</f>
        <v>10000</v>
      </c>
      <c r="J628" s="51" t="str">
        <f>G663</f>
        <v>8)</v>
      </c>
      <c r="K628" s="1" t="s">
        <v>436</v>
      </c>
    </row>
    <row r="629" spans="2:11" x14ac:dyDescent="0.25">
      <c r="B629" s="26"/>
      <c r="D629" s="6"/>
      <c r="E629" s="26"/>
      <c r="F629" s="1"/>
      <c r="I629" s="6"/>
      <c r="K629" s="1" t="s">
        <v>437</v>
      </c>
    </row>
    <row r="630" spans="2:11" x14ac:dyDescent="0.25">
      <c r="B630" s="26"/>
      <c r="D630" s="6"/>
      <c r="E630" s="26"/>
      <c r="F630" s="1"/>
      <c r="I630" s="6"/>
      <c r="K630" s="1" t="s">
        <v>438</v>
      </c>
    </row>
    <row r="631" spans="2:11" x14ac:dyDescent="0.25">
      <c r="B631" s="26"/>
      <c r="D631" s="6"/>
      <c r="E631" s="26"/>
      <c r="F631" s="1"/>
      <c r="I631" s="6"/>
      <c r="K631" s="1" t="s">
        <v>439</v>
      </c>
    </row>
    <row r="633" spans="2:11" x14ac:dyDescent="0.25">
      <c r="B633" s="28"/>
      <c r="C633" s="76" t="s">
        <v>434</v>
      </c>
      <c r="D633" s="4"/>
      <c r="E633" s="28"/>
      <c r="F633" s="1"/>
      <c r="G633" s="4"/>
      <c r="H633" s="76" t="s">
        <v>119</v>
      </c>
      <c r="I633" s="4"/>
      <c r="J633" s="28"/>
    </row>
    <row r="634" spans="2:11" x14ac:dyDescent="0.25">
      <c r="B634" s="26" t="str">
        <f>J627</f>
        <v>2)</v>
      </c>
      <c r="C634" s="1">
        <f>I627</f>
        <v>3000</v>
      </c>
      <c r="D634" s="152">
        <f>C634</f>
        <v>3000</v>
      </c>
      <c r="E634" s="60"/>
      <c r="F634" s="1"/>
      <c r="G634" s="1" t="s">
        <v>9</v>
      </c>
      <c r="H634" s="1">
        <v>100</v>
      </c>
      <c r="I634" s="5">
        <f>H634</f>
        <v>100</v>
      </c>
    </row>
    <row r="635" spans="2:11" x14ac:dyDescent="0.25">
      <c r="B635" s="26"/>
      <c r="D635" s="6"/>
      <c r="E635" s="26"/>
      <c r="F635" s="1"/>
      <c r="I635" s="6"/>
    </row>
    <row r="636" spans="2:11" x14ac:dyDescent="0.25">
      <c r="B636" s="26"/>
      <c r="D636" s="6"/>
      <c r="E636" s="26"/>
      <c r="F636" s="1"/>
      <c r="I636" s="6"/>
    </row>
    <row r="637" spans="2:11" x14ac:dyDescent="0.25">
      <c r="B637" s="26"/>
      <c r="D637" s="6"/>
      <c r="E637" s="26"/>
      <c r="F637" s="1"/>
      <c r="I637" s="6"/>
    </row>
    <row r="638" spans="2:11" x14ac:dyDescent="0.25">
      <c r="B638" s="26"/>
      <c r="D638" s="6"/>
      <c r="E638" s="26"/>
      <c r="F638" s="1"/>
      <c r="I638" s="6"/>
    </row>
    <row r="640" spans="2:11" x14ac:dyDescent="0.25">
      <c r="B640" s="28"/>
      <c r="C640" s="4" t="s">
        <v>104</v>
      </c>
      <c r="D640" s="4"/>
      <c r="E640" s="28"/>
      <c r="F640" s="1"/>
      <c r="G640" s="4"/>
      <c r="H640" s="4" t="s">
        <v>158</v>
      </c>
      <c r="I640" s="4"/>
      <c r="J640" s="28"/>
    </row>
    <row r="641" spans="2:10" x14ac:dyDescent="0.25">
      <c r="B641" s="26"/>
      <c r="D641" s="152">
        <f>H634*1.23</f>
        <v>123</v>
      </c>
      <c r="E641" s="60" t="str">
        <f>G634</f>
        <v>3)</v>
      </c>
      <c r="F641" s="1"/>
      <c r="G641" s="1" t="str">
        <f>G634</f>
        <v>3)</v>
      </c>
      <c r="H641" s="1">
        <f>D641-H634</f>
        <v>23</v>
      </c>
      <c r="I641" s="5"/>
    </row>
    <row r="642" spans="2:10" x14ac:dyDescent="0.25">
      <c r="B642" s="26"/>
      <c r="D642" s="6">
        <f>C649*1.23</f>
        <v>615</v>
      </c>
      <c r="E642" s="26" t="str">
        <f>B649</f>
        <v>4)</v>
      </c>
      <c r="F642" s="1"/>
      <c r="G642" s="1" t="str">
        <f>E642</f>
        <v>4)</v>
      </c>
      <c r="H642" s="1">
        <f>D642-C649</f>
        <v>115</v>
      </c>
      <c r="I642" s="6"/>
    </row>
    <row r="643" spans="2:10" x14ac:dyDescent="0.25">
      <c r="B643" s="26"/>
      <c r="D643" s="6"/>
      <c r="E643" s="26"/>
      <c r="F643" s="1"/>
      <c r="I643" s="6"/>
    </row>
    <row r="644" spans="2:10" x14ac:dyDescent="0.25">
      <c r="B644" s="26"/>
      <c r="D644" s="6"/>
      <c r="E644" s="26"/>
      <c r="F644" s="1"/>
      <c r="I644" s="6"/>
    </row>
    <row r="645" spans="2:10" x14ac:dyDescent="0.25">
      <c r="B645" s="26"/>
      <c r="D645" s="6"/>
      <c r="E645" s="26"/>
      <c r="F645" s="1"/>
      <c r="I645" s="6"/>
    </row>
    <row r="648" spans="2:10" x14ac:dyDescent="0.25">
      <c r="B648" s="28"/>
      <c r="C648" s="76" t="s">
        <v>392</v>
      </c>
      <c r="D648" s="4"/>
      <c r="E648" s="28"/>
      <c r="F648" s="1"/>
      <c r="G648" s="4"/>
      <c r="H648" s="76" t="s">
        <v>378</v>
      </c>
      <c r="I648" s="4"/>
      <c r="J648" s="28"/>
    </row>
    <row r="649" spans="2:10" x14ac:dyDescent="0.25">
      <c r="B649" s="26" t="s">
        <v>28</v>
      </c>
      <c r="C649" s="1">
        <v>500</v>
      </c>
      <c r="D649" s="152">
        <f>C649</f>
        <v>500</v>
      </c>
      <c r="E649" s="60"/>
      <c r="F649" s="1"/>
      <c r="H649" s="1">
        <f>I649</f>
        <v>4000</v>
      </c>
      <c r="I649" s="5">
        <v>4000</v>
      </c>
      <c r="J649" s="26" t="s">
        <v>98</v>
      </c>
    </row>
    <row r="650" spans="2:10" x14ac:dyDescent="0.25">
      <c r="B650" s="26"/>
      <c r="D650" s="6"/>
      <c r="E650" s="26"/>
      <c r="F650" s="1"/>
      <c r="I650" s="6"/>
    </row>
    <row r="651" spans="2:10" x14ac:dyDescent="0.25">
      <c r="B651" s="26"/>
      <c r="D651" s="6"/>
      <c r="E651" s="26"/>
      <c r="F651" s="1"/>
      <c r="I651" s="6"/>
    </row>
    <row r="652" spans="2:10" x14ac:dyDescent="0.25">
      <c r="B652" s="26"/>
      <c r="D652" s="6"/>
      <c r="E652" s="26"/>
      <c r="F652" s="1"/>
      <c r="I652" s="6"/>
    </row>
    <row r="653" spans="2:10" x14ac:dyDescent="0.25">
      <c r="B653" s="26"/>
      <c r="D653" s="6"/>
      <c r="E653" s="26"/>
      <c r="F653" s="1"/>
      <c r="I653" s="6"/>
    </row>
    <row r="655" spans="2:10" x14ac:dyDescent="0.25">
      <c r="B655" s="28"/>
      <c r="C655" s="4" t="s">
        <v>435</v>
      </c>
      <c r="D655" s="4"/>
      <c r="E655" s="28"/>
      <c r="F655" s="1"/>
      <c r="G655" s="4"/>
      <c r="H655" s="76" t="s">
        <v>416</v>
      </c>
      <c r="I655" s="4"/>
      <c r="J655" s="28"/>
    </row>
    <row r="656" spans="2:10" x14ac:dyDescent="0.25">
      <c r="B656" s="26" t="s">
        <v>101</v>
      </c>
      <c r="C656" s="1">
        <v>2000</v>
      </c>
      <c r="D656" s="152">
        <f>C656</f>
        <v>2000</v>
      </c>
      <c r="E656" s="60" t="s">
        <v>113</v>
      </c>
      <c r="F656" s="1"/>
      <c r="G656" s="1" t="str">
        <f>E656</f>
        <v>6)</v>
      </c>
      <c r="H656" s="1">
        <f>D656</f>
        <v>2000</v>
      </c>
      <c r="I656" s="5">
        <f>H656</f>
        <v>2000</v>
      </c>
    </row>
    <row r="657" spans="2:10" x14ac:dyDescent="0.25">
      <c r="B657" s="26"/>
      <c r="D657" s="6"/>
      <c r="E657" s="26"/>
      <c r="F657" s="1"/>
      <c r="I657" s="6"/>
    </row>
    <row r="658" spans="2:10" x14ac:dyDescent="0.25">
      <c r="B658" s="26"/>
      <c r="D658" s="6"/>
      <c r="E658" s="26"/>
      <c r="F658" s="1"/>
      <c r="I658" s="6"/>
    </row>
    <row r="659" spans="2:10" x14ac:dyDescent="0.25">
      <c r="B659" s="26"/>
      <c r="D659" s="6"/>
      <c r="E659" s="26"/>
      <c r="F659" s="1"/>
      <c r="I659" s="6"/>
    </row>
    <row r="660" spans="2:10" x14ac:dyDescent="0.25">
      <c r="B660" s="26"/>
      <c r="D660" s="6"/>
      <c r="E660" s="26"/>
      <c r="F660" s="1"/>
      <c r="I660" s="6"/>
    </row>
    <row r="662" spans="2:10" x14ac:dyDescent="0.25">
      <c r="B662" s="28"/>
      <c r="C662" s="76" t="s">
        <v>217</v>
      </c>
      <c r="D662" s="4"/>
      <c r="E662" s="28"/>
      <c r="F662" s="1"/>
      <c r="G662" s="4"/>
      <c r="H662" s="76" t="s">
        <v>418</v>
      </c>
      <c r="I662" s="4"/>
      <c r="J662" s="28"/>
    </row>
    <row r="663" spans="2:10" x14ac:dyDescent="0.25">
      <c r="B663" s="26"/>
      <c r="C663" s="1">
        <f>D663+D664</f>
        <v>26500</v>
      </c>
      <c r="D663" s="152">
        <v>1500</v>
      </c>
      <c r="E663" s="60" t="s">
        <v>144</v>
      </c>
      <c r="F663" s="1"/>
      <c r="G663" s="1" t="s">
        <v>214</v>
      </c>
      <c r="H663" s="1">
        <v>10000</v>
      </c>
      <c r="I663" s="5">
        <f>H663</f>
        <v>10000</v>
      </c>
    </row>
    <row r="664" spans="2:10" x14ac:dyDescent="0.25">
      <c r="B664" s="26"/>
      <c r="D664" s="6">
        <v>25000</v>
      </c>
      <c r="E664" s="26" t="s">
        <v>429</v>
      </c>
      <c r="F664" s="1"/>
      <c r="I664" s="6"/>
    </row>
    <row r="665" spans="2:10" x14ac:dyDescent="0.25">
      <c r="B665" s="26"/>
      <c r="D665" s="6"/>
      <c r="E665" s="26"/>
      <c r="F665" s="1"/>
      <c r="I665" s="6"/>
    </row>
    <row r="666" spans="2:10" x14ac:dyDescent="0.25">
      <c r="B666" s="26"/>
      <c r="D666" s="6"/>
      <c r="E666" s="26"/>
      <c r="F666" s="1"/>
      <c r="I666" s="6"/>
    </row>
    <row r="667" spans="2:10" x14ac:dyDescent="0.25">
      <c r="B667" s="26"/>
      <c r="D667" s="6"/>
      <c r="E667" s="26"/>
      <c r="F667" s="1"/>
      <c r="I667" s="6"/>
    </row>
    <row r="669" spans="2:10" x14ac:dyDescent="0.25">
      <c r="B669" s="28"/>
      <c r="C669" s="76" t="s">
        <v>440</v>
      </c>
      <c r="D669" s="4"/>
      <c r="E669" s="28"/>
      <c r="F669" s="1"/>
      <c r="G669" s="4"/>
      <c r="H669" s="4" t="s">
        <v>6</v>
      </c>
      <c r="I669" s="4"/>
      <c r="J669" s="28"/>
    </row>
    <row r="670" spans="2:10" x14ac:dyDescent="0.25">
      <c r="B670" s="26"/>
      <c r="C670" s="1">
        <f>D670</f>
        <v>12000</v>
      </c>
      <c r="D670" s="152">
        <v>12000</v>
      </c>
      <c r="E670" s="60" t="s">
        <v>270</v>
      </c>
      <c r="F670" s="1"/>
      <c r="G670" s="1" t="str">
        <f>E670</f>
        <v>9)</v>
      </c>
      <c r="H670" s="1">
        <f>D670</f>
        <v>12000</v>
      </c>
      <c r="I670" s="5"/>
    </row>
    <row r="671" spans="2:10" x14ac:dyDescent="0.25">
      <c r="B671" s="26"/>
      <c r="D671" s="6"/>
      <c r="E671" s="26"/>
      <c r="F671" s="1"/>
      <c r="G671" s="1" t="str">
        <f>E664</f>
        <v>10)</v>
      </c>
      <c r="H671" s="1">
        <f>D664</f>
        <v>25000</v>
      </c>
      <c r="I671" s="6"/>
    </row>
    <row r="672" spans="2:10" x14ac:dyDescent="0.25">
      <c r="B672" s="26"/>
      <c r="D672" s="6"/>
      <c r="E672" s="26"/>
      <c r="F672" s="1"/>
      <c r="I672" s="6"/>
    </row>
    <row r="673" spans="2:10" x14ac:dyDescent="0.25">
      <c r="B673" s="26"/>
      <c r="D673" s="6"/>
      <c r="E673" s="26"/>
      <c r="F673" s="1"/>
      <c r="I673" s="6"/>
    </row>
    <row r="674" spans="2:10" x14ac:dyDescent="0.25">
      <c r="B674" s="26"/>
      <c r="D674" s="6"/>
      <c r="E674" s="26"/>
      <c r="F674" s="1"/>
      <c r="I674" s="6"/>
    </row>
    <row r="676" spans="2:10" x14ac:dyDescent="0.25">
      <c r="B676" s="28"/>
      <c r="C676" s="4" t="s">
        <v>430</v>
      </c>
      <c r="D676" s="4"/>
      <c r="E676" s="28"/>
      <c r="F676" s="1"/>
      <c r="G676" s="4"/>
      <c r="H676" s="4" t="s">
        <v>433</v>
      </c>
      <c r="I676" s="4"/>
      <c r="J676" s="28"/>
    </row>
    <row r="677" spans="2:10" x14ac:dyDescent="0.25">
      <c r="B677" s="26"/>
      <c r="C677" s="1">
        <f>D634</f>
        <v>3000</v>
      </c>
      <c r="D677" s="5">
        <f>C619</f>
        <v>5000</v>
      </c>
      <c r="E677" s="26"/>
      <c r="F677" s="1"/>
      <c r="I677" s="34">
        <f>D681</f>
        <v>31900</v>
      </c>
    </row>
    <row r="678" spans="2:10" x14ac:dyDescent="0.25">
      <c r="B678" s="26"/>
      <c r="C678" s="1">
        <f>I634</f>
        <v>100</v>
      </c>
      <c r="D678" s="6">
        <f>H649</f>
        <v>4000</v>
      </c>
      <c r="E678" s="26"/>
      <c r="F678" s="1"/>
      <c r="I678" s="6"/>
    </row>
    <row r="679" spans="2:10" x14ac:dyDescent="0.25">
      <c r="B679" s="26"/>
      <c r="C679" s="1">
        <f>D649</f>
        <v>500</v>
      </c>
      <c r="D679" s="6">
        <f>C663</f>
        <v>26500</v>
      </c>
      <c r="E679" s="26"/>
      <c r="F679" s="1"/>
      <c r="I679" s="6"/>
    </row>
    <row r="680" spans="2:10" x14ac:dyDescent="0.25">
      <c r="B680" s="26"/>
      <c r="C680" s="1">
        <f>I656</f>
        <v>2000</v>
      </c>
      <c r="D680" s="6">
        <f>C670</f>
        <v>12000</v>
      </c>
      <c r="E680" s="26"/>
      <c r="F680" s="1"/>
      <c r="I680" s="6"/>
    </row>
    <row r="681" spans="2:10" x14ac:dyDescent="0.25">
      <c r="B681" s="28"/>
      <c r="C681" s="4">
        <f>I663</f>
        <v>10000</v>
      </c>
      <c r="D681" s="154">
        <f>SUM(D677:D680)-SUM(C677:C681)</f>
        <v>31900</v>
      </c>
      <c r="E681" s="28"/>
      <c r="F681" s="1"/>
      <c r="I681" s="6"/>
    </row>
    <row r="682" spans="2:10" x14ac:dyDescent="0.25">
      <c r="B682" s="26"/>
      <c r="D682" s="5"/>
      <c r="E682" s="26"/>
      <c r="F682" s="1"/>
      <c r="I682" s="1"/>
    </row>
    <row r="683" spans="2:10" x14ac:dyDescent="0.25">
      <c r="B683" s="26"/>
      <c r="D683" s="6"/>
      <c r="E683" s="26"/>
      <c r="F683" s="1"/>
      <c r="I683" s="1"/>
    </row>
    <row r="684" spans="2:10" x14ac:dyDescent="0.25">
      <c r="B684" s="26"/>
      <c r="C684" s="1" t="s">
        <v>432</v>
      </c>
      <c r="D684" s="1"/>
      <c r="E684" s="26"/>
      <c r="F684" s="1"/>
      <c r="I684" s="1"/>
    </row>
    <row r="686" spans="2:10" x14ac:dyDescent="0.25">
      <c r="B686" s="27" t="s">
        <v>447</v>
      </c>
      <c r="D686" s="1"/>
      <c r="F686" s="1"/>
    </row>
    <row r="687" spans="2:10" x14ac:dyDescent="0.25">
      <c r="B687" s="159" t="s">
        <v>448</v>
      </c>
      <c r="C687" s="14"/>
      <c r="D687" s="14"/>
      <c r="E687" s="14"/>
      <c r="F687" s="14"/>
      <c r="G687" s="14"/>
    </row>
    <row r="688" spans="2:10" x14ac:dyDescent="0.25">
      <c r="B688" s="23" t="s">
        <v>449</v>
      </c>
      <c r="C688" s="4"/>
      <c r="D688" s="4"/>
      <c r="E688" s="4"/>
      <c r="F688" s="4"/>
      <c r="G688" s="4"/>
    </row>
    <row r="689" spans="2:8" x14ac:dyDescent="0.25">
      <c r="B689" s="168" t="s">
        <v>450</v>
      </c>
      <c r="C689" s="168"/>
      <c r="D689" s="168"/>
      <c r="E689" s="168"/>
      <c r="F689" s="168"/>
      <c r="G689" s="168"/>
      <c r="H689" s="158"/>
    </row>
    <row r="690" spans="2:8" x14ac:dyDescent="0.25">
      <c r="B690" s="169" t="s">
        <v>451</v>
      </c>
      <c r="C690" s="169"/>
      <c r="D690" s="169"/>
      <c r="E690" s="169"/>
      <c r="F690" s="169"/>
      <c r="G690" s="169"/>
      <c r="H690" s="158"/>
    </row>
    <row r="691" spans="2:8" x14ac:dyDescent="0.25">
      <c r="B691" s="169" t="s">
        <v>452</v>
      </c>
      <c r="C691" s="170"/>
      <c r="D691" s="170"/>
      <c r="E691" s="170"/>
      <c r="F691" s="170"/>
      <c r="G691" s="170"/>
      <c r="H691" s="158"/>
    </row>
    <row r="692" spans="2:8" x14ac:dyDescent="0.25">
      <c r="B692" s="169" t="s">
        <v>453</v>
      </c>
      <c r="C692" s="170"/>
      <c r="D692" s="170"/>
      <c r="E692" s="170"/>
      <c r="F692" s="170"/>
      <c r="G692" s="170"/>
      <c r="H692" s="158"/>
    </row>
    <row r="693" spans="2:8" x14ac:dyDescent="0.25">
      <c r="B693" s="169" t="s">
        <v>454</v>
      </c>
      <c r="C693" s="170"/>
      <c r="D693" s="170"/>
      <c r="E693" s="170"/>
      <c r="F693" s="170"/>
      <c r="G693" s="170"/>
      <c r="H693" s="158"/>
    </row>
    <row r="694" spans="2:8" x14ac:dyDescent="0.25">
      <c r="B694" s="169" t="s">
        <v>455</v>
      </c>
      <c r="C694" s="170"/>
      <c r="D694" s="170"/>
      <c r="E694" s="170"/>
      <c r="F694" s="170"/>
      <c r="G694" s="170"/>
      <c r="H694" s="158"/>
    </row>
    <row r="695" spans="2:8" x14ac:dyDescent="0.25">
      <c r="B695" s="169" t="s">
        <v>456</v>
      </c>
      <c r="C695" s="170"/>
      <c r="D695" s="170"/>
      <c r="E695" s="170"/>
      <c r="F695" s="170"/>
      <c r="G695" s="170"/>
      <c r="H695" s="158"/>
    </row>
    <row r="696" spans="2:8" x14ac:dyDescent="0.25">
      <c r="B696" s="169" t="s">
        <v>457</v>
      </c>
      <c r="C696" s="170"/>
      <c r="D696" s="170"/>
      <c r="E696" s="170"/>
      <c r="F696" s="170"/>
      <c r="G696" s="170"/>
      <c r="H696" s="158"/>
    </row>
    <row r="697" spans="2:8" x14ac:dyDescent="0.25">
      <c r="B697" s="169" t="s">
        <v>458</v>
      </c>
      <c r="C697" s="170"/>
      <c r="D697" s="170"/>
      <c r="E697" s="170"/>
      <c r="F697" s="170"/>
      <c r="G697" s="170"/>
      <c r="H697" s="158"/>
    </row>
    <row r="698" spans="2:8" x14ac:dyDescent="0.25">
      <c r="B698" s="169" t="s">
        <v>459</v>
      </c>
      <c r="C698" s="170"/>
      <c r="D698" s="170"/>
      <c r="E698" s="170"/>
      <c r="F698" s="170"/>
      <c r="G698" s="170"/>
      <c r="H698" s="158"/>
    </row>
    <row r="699" spans="2:8" x14ac:dyDescent="0.25">
      <c r="B699" s="169" t="s">
        <v>460</v>
      </c>
      <c r="C699" s="170"/>
      <c r="D699" s="170"/>
      <c r="E699" s="170"/>
      <c r="F699" s="170"/>
      <c r="G699" s="170"/>
      <c r="H699" s="158"/>
    </row>
    <row r="700" spans="2:8" x14ac:dyDescent="0.25">
      <c r="B700" s="169" t="s">
        <v>461</v>
      </c>
      <c r="C700" s="170"/>
      <c r="D700" s="170"/>
      <c r="E700" s="170"/>
      <c r="F700" s="170"/>
      <c r="G700" s="170"/>
      <c r="H700" s="158"/>
    </row>
    <row r="701" spans="2:8" x14ac:dyDescent="0.25">
      <c r="B701" s="169" t="s">
        <v>462</v>
      </c>
      <c r="C701" s="170"/>
      <c r="D701" s="170"/>
      <c r="E701" s="170"/>
      <c r="F701" s="170"/>
      <c r="G701" s="170"/>
      <c r="H701" s="158"/>
    </row>
    <row r="702" spans="2:8" x14ac:dyDescent="0.25">
      <c r="B702" s="169" t="s">
        <v>463</v>
      </c>
      <c r="C702" s="170"/>
      <c r="D702" s="170"/>
      <c r="E702" s="170"/>
      <c r="F702" s="170"/>
      <c r="G702" s="170"/>
      <c r="H702" s="158"/>
    </row>
    <row r="703" spans="2:8" x14ac:dyDescent="0.25">
      <c r="B703" s="169" t="s">
        <v>464</v>
      </c>
      <c r="C703" s="170"/>
      <c r="D703" s="170"/>
      <c r="E703" s="170"/>
      <c r="F703" s="170"/>
      <c r="G703" s="170"/>
      <c r="H703" s="158"/>
    </row>
    <row r="704" spans="2:8" x14ac:dyDescent="0.25">
      <c r="B704" s="169" t="s">
        <v>465</v>
      </c>
      <c r="C704" s="170"/>
      <c r="D704" s="170"/>
      <c r="E704" s="170"/>
      <c r="F704" s="170"/>
      <c r="G704" s="170"/>
      <c r="H704" s="158"/>
    </row>
    <row r="705" spans="2:8" x14ac:dyDescent="0.25">
      <c r="B705" s="169" t="s">
        <v>466</v>
      </c>
      <c r="C705" s="170"/>
      <c r="D705" s="170"/>
      <c r="E705" s="170"/>
      <c r="F705" s="170"/>
      <c r="G705" s="170"/>
      <c r="H705" s="158"/>
    </row>
    <row r="706" spans="2:8" x14ac:dyDescent="0.25">
      <c r="B706" s="169" t="s">
        <v>467</v>
      </c>
      <c r="C706" s="170"/>
      <c r="D706" s="170"/>
      <c r="E706" s="170"/>
      <c r="F706" s="170"/>
      <c r="G706" s="170"/>
      <c r="H706" s="158"/>
    </row>
    <row r="707" spans="2:8" x14ac:dyDescent="0.25">
      <c r="B707" s="169" t="s">
        <v>468</v>
      </c>
      <c r="C707" s="170"/>
      <c r="D707" s="170"/>
      <c r="E707" s="170"/>
      <c r="F707" s="170"/>
      <c r="G707" s="170"/>
      <c r="H707" s="158"/>
    </row>
    <row r="708" spans="2:8" x14ac:dyDescent="0.25">
      <c r="B708" s="169" t="s">
        <v>469</v>
      </c>
      <c r="C708" s="170"/>
      <c r="D708" s="170"/>
      <c r="E708" s="170"/>
      <c r="F708" s="170"/>
      <c r="G708" s="170"/>
      <c r="H708" s="158"/>
    </row>
    <row r="709" spans="2:8" x14ac:dyDescent="0.25">
      <c r="B709" s="169" t="s">
        <v>470</v>
      </c>
      <c r="C709" s="170"/>
      <c r="D709" s="170"/>
      <c r="E709" s="170"/>
      <c r="F709" s="170"/>
      <c r="G709" s="170"/>
      <c r="H709" s="158"/>
    </row>
    <row r="710" spans="2:8" x14ac:dyDescent="0.25">
      <c r="B710" s="169" t="s">
        <v>471</v>
      </c>
      <c r="C710" s="170"/>
      <c r="D710" s="170"/>
      <c r="E710" s="170"/>
      <c r="F710" s="170"/>
      <c r="G710" s="170"/>
      <c r="H710" s="158"/>
    </row>
    <row r="711" spans="2:8" x14ac:dyDescent="0.25">
      <c r="B711" s="169" t="s">
        <v>472</v>
      </c>
      <c r="C711" s="170"/>
      <c r="D711" s="170"/>
      <c r="E711" s="170"/>
      <c r="F711" s="170"/>
      <c r="G711" s="170"/>
      <c r="H711" s="158"/>
    </row>
    <row r="712" spans="2:8" x14ac:dyDescent="0.25">
      <c r="B712" s="169" t="s">
        <v>473</v>
      </c>
      <c r="C712" s="170"/>
      <c r="D712" s="170"/>
      <c r="E712" s="170"/>
      <c r="F712" s="170"/>
      <c r="G712" s="170"/>
      <c r="H712" s="158"/>
    </row>
    <row r="713" spans="2:8" x14ac:dyDescent="0.25">
      <c r="B713" s="169" t="s">
        <v>474</v>
      </c>
      <c r="C713" s="170"/>
      <c r="D713" s="170"/>
      <c r="E713" s="170"/>
      <c r="F713" s="170"/>
      <c r="G713" s="170"/>
      <c r="H713" s="158"/>
    </row>
    <row r="714" spans="2:8" x14ac:dyDescent="0.25">
      <c r="B714" s="169" t="s">
        <v>475</v>
      </c>
      <c r="C714" s="170"/>
      <c r="D714" s="170"/>
      <c r="E714" s="170"/>
      <c r="F714" s="170"/>
      <c r="G714" s="170"/>
      <c r="H714" s="158"/>
    </row>
    <row r="715" spans="2:8" x14ac:dyDescent="0.25">
      <c r="B715" s="169" t="s">
        <v>476</v>
      </c>
      <c r="C715" s="170"/>
      <c r="D715" s="170"/>
      <c r="E715" s="170"/>
      <c r="F715" s="170"/>
      <c r="G715" s="170"/>
      <c r="H715" s="158"/>
    </row>
    <row r="716" spans="2:8" x14ac:dyDescent="0.25">
      <c r="B716" s="169" t="s">
        <v>475</v>
      </c>
      <c r="C716" s="170"/>
      <c r="D716" s="170"/>
      <c r="E716" s="170"/>
      <c r="F716" s="170"/>
      <c r="G716" s="170"/>
      <c r="H716" s="158"/>
    </row>
    <row r="717" spans="2:8" x14ac:dyDescent="0.25">
      <c r="B717" s="169" t="s">
        <v>477</v>
      </c>
      <c r="C717" s="170"/>
      <c r="D717" s="170"/>
      <c r="E717" s="170"/>
      <c r="F717" s="170"/>
      <c r="G717" s="170"/>
      <c r="H717" s="158"/>
    </row>
    <row r="718" spans="2:8" x14ac:dyDescent="0.25">
      <c r="B718" s="169" t="s">
        <v>451</v>
      </c>
      <c r="C718" s="170"/>
      <c r="D718" s="170"/>
      <c r="E718" s="170"/>
      <c r="F718" s="170"/>
      <c r="G718" s="170"/>
      <c r="H718" s="158"/>
    </row>
    <row r="719" spans="2:8" x14ac:dyDescent="0.25">
      <c r="B719" s="169" t="s">
        <v>478</v>
      </c>
      <c r="C719" s="170"/>
      <c r="D719" s="170"/>
      <c r="E719" s="170"/>
      <c r="F719" s="170"/>
      <c r="G719" s="170"/>
      <c r="H719" s="158"/>
    </row>
    <row r="720" spans="2:8" x14ac:dyDescent="0.25">
      <c r="B720" s="169" t="s">
        <v>479</v>
      </c>
      <c r="C720" s="170"/>
      <c r="D720" s="170"/>
      <c r="E720" s="170"/>
      <c r="F720" s="170"/>
      <c r="G720" s="170"/>
      <c r="H720" s="158"/>
    </row>
    <row r="721" spans="2:8" x14ac:dyDescent="0.25">
      <c r="B721" s="169" t="s">
        <v>480</v>
      </c>
      <c r="C721" s="170"/>
      <c r="D721" s="170"/>
      <c r="E721" s="170"/>
      <c r="F721" s="170"/>
      <c r="G721" s="170"/>
      <c r="H721" s="158"/>
    </row>
    <row r="722" spans="2:8" x14ac:dyDescent="0.25">
      <c r="B722" s="169" t="s">
        <v>481</v>
      </c>
      <c r="C722" s="170"/>
      <c r="D722" s="170"/>
      <c r="E722" s="170"/>
      <c r="F722" s="170"/>
      <c r="G722" s="170"/>
      <c r="H722" s="158"/>
    </row>
    <row r="723" spans="2:8" x14ac:dyDescent="0.25">
      <c r="B723" s="169" t="s">
        <v>482</v>
      </c>
      <c r="C723" s="170"/>
      <c r="D723" s="170"/>
      <c r="E723" s="170"/>
      <c r="F723" s="170"/>
      <c r="G723" s="170"/>
      <c r="H723" s="158"/>
    </row>
    <row r="724" spans="2:8" x14ac:dyDescent="0.25">
      <c r="B724" s="169" t="s">
        <v>483</v>
      </c>
      <c r="C724" s="170"/>
      <c r="D724" s="170"/>
      <c r="E724" s="170"/>
      <c r="F724" s="170"/>
      <c r="G724" s="170"/>
      <c r="H724" s="158"/>
    </row>
    <row r="725" spans="2:8" x14ac:dyDescent="0.25">
      <c r="B725" s="169" t="s">
        <v>484</v>
      </c>
      <c r="C725" s="170"/>
      <c r="D725" s="170"/>
      <c r="E725" s="170"/>
      <c r="F725" s="170"/>
      <c r="G725" s="170"/>
      <c r="H725" s="158"/>
    </row>
    <row r="726" spans="2:8" x14ac:dyDescent="0.25">
      <c r="B726" s="169" t="s">
        <v>485</v>
      </c>
      <c r="C726" s="170"/>
      <c r="D726" s="170"/>
      <c r="E726" s="170"/>
      <c r="F726" s="170"/>
      <c r="G726" s="170"/>
      <c r="H726" s="158"/>
    </row>
    <row r="727" spans="2:8" x14ac:dyDescent="0.25">
      <c r="B727" s="169" t="s">
        <v>479</v>
      </c>
      <c r="C727" s="170"/>
      <c r="D727" s="170"/>
      <c r="E727" s="170"/>
      <c r="F727" s="170"/>
      <c r="G727" s="170"/>
      <c r="H727" s="158"/>
    </row>
    <row r="728" spans="2:8" x14ac:dyDescent="0.25">
      <c r="B728" s="169" t="s">
        <v>486</v>
      </c>
      <c r="C728" s="170"/>
      <c r="D728" s="170"/>
      <c r="E728" s="170"/>
      <c r="F728" s="170"/>
      <c r="G728" s="170"/>
      <c r="H728" s="158"/>
    </row>
    <row r="729" spans="2:8" x14ac:dyDescent="0.25">
      <c r="B729" s="169" t="s">
        <v>487</v>
      </c>
      <c r="C729" s="170"/>
      <c r="D729" s="170"/>
      <c r="E729" s="170"/>
      <c r="F729" s="170"/>
      <c r="G729" s="170"/>
      <c r="H729" s="158"/>
    </row>
    <row r="730" spans="2:8" x14ac:dyDescent="0.25">
      <c r="B730" s="169" t="s">
        <v>488</v>
      </c>
      <c r="C730" s="170"/>
      <c r="D730" s="170"/>
      <c r="E730" s="170"/>
      <c r="F730" s="170"/>
      <c r="G730" s="170"/>
      <c r="H730" s="158"/>
    </row>
    <row r="731" spans="2:8" x14ac:dyDescent="0.25">
      <c r="B731" s="169" t="s">
        <v>489</v>
      </c>
      <c r="C731" s="170"/>
      <c r="D731" s="170"/>
      <c r="E731" s="170"/>
      <c r="F731" s="170"/>
      <c r="G731" s="170"/>
      <c r="H731" s="158"/>
    </row>
    <row r="732" spans="2:8" x14ac:dyDescent="0.25">
      <c r="B732" s="169" t="s">
        <v>490</v>
      </c>
      <c r="C732" s="170"/>
      <c r="D732" s="170"/>
      <c r="E732" s="170"/>
      <c r="F732" s="170"/>
      <c r="G732" s="170"/>
      <c r="H732" s="158"/>
    </row>
    <row r="733" spans="2:8" x14ac:dyDescent="0.25">
      <c r="B733" s="171" t="s">
        <v>491</v>
      </c>
      <c r="C733" s="172"/>
      <c r="D733" s="172"/>
      <c r="E733" s="172"/>
      <c r="F733" s="172"/>
      <c r="G733" s="172"/>
      <c r="H733" s="158"/>
    </row>
    <row r="734" spans="2:8" x14ac:dyDescent="0.25">
      <c r="B734" s="5"/>
      <c r="C734" s="12"/>
      <c r="D734" s="12"/>
      <c r="E734" s="12"/>
      <c r="F734" s="12"/>
      <c r="G734" s="13"/>
    </row>
    <row r="735" spans="2:8" x14ac:dyDescent="0.25">
      <c r="B735" s="22" t="s">
        <v>492</v>
      </c>
      <c r="C735" s="4"/>
      <c r="D735" s="4"/>
      <c r="E735" s="4"/>
      <c r="F735" s="4"/>
      <c r="G735" s="16"/>
    </row>
    <row r="736" spans="2:8" x14ac:dyDescent="0.25">
      <c r="B736" s="168" t="s">
        <v>493</v>
      </c>
      <c r="C736" s="168"/>
      <c r="D736" s="168"/>
      <c r="E736" s="168"/>
      <c r="F736" s="168"/>
      <c r="G736" s="168"/>
      <c r="H736" s="158">
        <f>H738+H739+H740+H741</f>
        <v>5000</v>
      </c>
    </row>
    <row r="737" spans="2:8" x14ac:dyDescent="0.25">
      <c r="B737" s="169" t="s">
        <v>451</v>
      </c>
      <c r="C737" s="170"/>
      <c r="D737" s="170"/>
      <c r="E737" s="170"/>
      <c r="F737" s="170"/>
      <c r="G737" s="170"/>
      <c r="H737" s="158">
        <v>0</v>
      </c>
    </row>
    <row r="738" spans="2:8" x14ac:dyDescent="0.25">
      <c r="B738" s="169" t="s">
        <v>452</v>
      </c>
      <c r="C738" s="170"/>
      <c r="D738" s="170"/>
      <c r="E738" s="170"/>
      <c r="F738" s="170"/>
      <c r="G738" s="170"/>
      <c r="H738" s="158">
        <v>0</v>
      </c>
    </row>
    <row r="739" spans="2:8" x14ac:dyDescent="0.25">
      <c r="B739" s="173" t="s">
        <v>494</v>
      </c>
      <c r="C739" s="174"/>
      <c r="D739" s="174"/>
      <c r="E739" s="174"/>
      <c r="F739" s="174"/>
      <c r="G739" s="174"/>
      <c r="H739" s="158">
        <v>0</v>
      </c>
    </row>
    <row r="740" spans="2:8" x14ac:dyDescent="0.25">
      <c r="B740" s="169" t="s">
        <v>495</v>
      </c>
      <c r="C740" s="169"/>
      <c r="D740" s="169"/>
      <c r="E740" s="169"/>
      <c r="F740" s="169"/>
      <c r="G740" s="169"/>
      <c r="H740" s="158">
        <v>0</v>
      </c>
    </row>
    <row r="741" spans="2:8" x14ac:dyDescent="0.25">
      <c r="B741" s="169" t="s">
        <v>496</v>
      </c>
      <c r="C741" s="170"/>
      <c r="D741" s="170"/>
      <c r="E741" s="170"/>
      <c r="F741" s="170"/>
      <c r="G741" s="170"/>
      <c r="H741" s="158">
        <f>D619</f>
        <v>5000</v>
      </c>
    </row>
    <row r="742" spans="2:8" x14ac:dyDescent="0.25">
      <c r="B742" s="169" t="s">
        <v>497</v>
      </c>
      <c r="C742" s="170"/>
      <c r="D742" s="170"/>
      <c r="E742" s="170"/>
      <c r="F742" s="170"/>
      <c r="G742" s="170"/>
      <c r="H742" s="158">
        <f>H743+H744+H745+H746+H748+H749+H751+H752</f>
        <v>3600</v>
      </c>
    </row>
    <row r="743" spans="2:8" x14ac:dyDescent="0.25">
      <c r="B743" s="169" t="s">
        <v>498</v>
      </c>
      <c r="C743" s="170"/>
      <c r="D743" s="170"/>
      <c r="E743" s="170"/>
      <c r="F743" s="170"/>
      <c r="G743" s="170"/>
      <c r="H743" s="158">
        <v>0</v>
      </c>
    </row>
    <row r="744" spans="2:8" x14ac:dyDescent="0.25">
      <c r="B744" s="169" t="s">
        <v>499</v>
      </c>
      <c r="C744" s="170"/>
      <c r="D744" s="170"/>
      <c r="E744" s="170"/>
      <c r="F744" s="170"/>
      <c r="G744" s="170"/>
      <c r="H744" s="158">
        <f>C649</f>
        <v>500</v>
      </c>
    </row>
    <row r="745" spans="2:8" x14ac:dyDescent="0.25">
      <c r="B745" s="169" t="s">
        <v>500</v>
      </c>
      <c r="C745" s="170"/>
      <c r="D745" s="170"/>
      <c r="E745" s="170"/>
      <c r="F745" s="170"/>
      <c r="G745" s="170"/>
      <c r="H745" s="158">
        <f>H634</f>
        <v>100</v>
      </c>
    </row>
    <row r="746" spans="2:8" x14ac:dyDescent="0.25">
      <c r="B746" s="169" t="s">
        <v>501</v>
      </c>
      <c r="C746" s="170"/>
      <c r="D746" s="170"/>
      <c r="E746" s="170"/>
      <c r="F746" s="170"/>
      <c r="G746" s="170"/>
      <c r="H746" s="158">
        <v>0</v>
      </c>
    </row>
    <row r="747" spans="2:8" x14ac:dyDescent="0.25">
      <c r="B747" s="169" t="s">
        <v>502</v>
      </c>
      <c r="C747" s="170"/>
      <c r="D747" s="170"/>
      <c r="E747" s="170"/>
      <c r="F747" s="170"/>
      <c r="G747" s="170"/>
      <c r="H747" s="158">
        <v>0</v>
      </c>
    </row>
    <row r="748" spans="2:8" x14ac:dyDescent="0.25">
      <c r="B748" s="169" t="s">
        <v>503</v>
      </c>
      <c r="C748" s="170"/>
      <c r="D748" s="170"/>
      <c r="E748" s="170"/>
      <c r="F748" s="170"/>
      <c r="G748" s="170"/>
      <c r="H748" s="158">
        <v>0</v>
      </c>
    </row>
    <row r="749" spans="2:8" x14ac:dyDescent="0.25">
      <c r="B749" s="169" t="s">
        <v>504</v>
      </c>
      <c r="C749" s="170"/>
      <c r="D749" s="170"/>
      <c r="E749" s="170"/>
      <c r="F749" s="170"/>
      <c r="G749" s="170"/>
      <c r="H749" s="158">
        <v>0</v>
      </c>
    </row>
    <row r="750" spans="2:8" x14ac:dyDescent="0.25">
      <c r="B750" s="169" t="s">
        <v>505</v>
      </c>
      <c r="C750" s="170"/>
      <c r="D750" s="170"/>
      <c r="E750" s="170"/>
      <c r="F750" s="170"/>
      <c r="G750" s="170"/>
      <c r="H750" s="158">
        <v>0</v>
      </c>
    </row>
    <row r="751" spans="2:8" x14ac:dyDescent="0.25">
      <c r="B751" s="169" t="s">
        <v>506</v>
      </c>
      <c r="C751" s="170"/>
      <c r="D751" s="170"/>
      <c r="E751" s="170"/>
      <c r="F751" s="170"/>
      <c r="G751" s="170"/>
      <c r="H751" s="158">
        <v>0</v>
      </c>
    </row>
    <row r="752" spans="2:8" x14ac:dyDescent="0.25">
      <c r="B752" s="169" t="s">
        <v>507</v>
      </c>
      <c r="C752" s="170"/>
      <c r="D752" s="170"/>
      <c r="E752" s="170"/>
      <c r="F752" s="170"/>
      <c r="G752" s="170"/>
      <c r="H752" s="158">
        <f>C634</f>
        <v>3000</v>
      </c>
    </row>
    <row r="753" spans="2:8" x14ac:dyDescent="0.25">
      <c r="B753" s="169" t="s">
        <v>508</v>
      </c>
      <c r="C753" s="170"/>
      <c r="D753" s="170"/>
      <c r="E753" s="170"/>
      <c r="F753" s="170"/>
      <c r="G753" s="170"/>
      <c r="H753" s="160">
        <f>H736-H742</f>
        <v>1400</v>
      </c>
    </row>
    <row r="754" spans="2:8" x14ac:dyDescent="0.25">
      <c r="B754" s="169" t="s">
        <v>509</v>
      </c>
      <c r="C754" s="170"/>
      <c r="D754" s="170"/>
      <c r="E754" s="170"/>
      <c r="F754" s="170"/>
      <c r="G754" s="170"/>
      <c r="H754" s="158">
        <f>H755+H756+H757+H758</f>
        <v>14000</v>
      </c>
    </row>
    <row r="755" spans="2:8" x14ac:dyDescent="0.25">
      <c r="B755" s="169" t="s">
        <v>463</v>
      </c>
      <c r="C755" s="170"/>
      <c r="D755" s="170"/>
      <c r="E755" s="170"/>
      <c r="F755" s="170"/>
      <c r="G755" s="170"/>
      <c r="H755" s="162">
        <f>I649-H656</f>
        <v>2000</v>
      </c>
    </row>
    <row r="756" spans="2:8" x14ac:dyDescent="0.25">
      <c r="B756" s="169" t="s">
        <v>464</v>
      </c>
      <c r="C756" s="170"/>
      <c r="D756" s="170"/>
      <c r="E756" s="170"/>
      <c r="F756" s="170"/>
      <c r="G756" s="170"/>
      <c r="H756" s="158">
        <v>0</v>
      </c>
    </row>
    <row r="757" spans="2:8" x14ac:dyDescent="0.25">
      <c r="B757" s="169" t="s">
        <v>465</v>
      </c>
      <c r="C757" s="170"/>
      <c r="D757" s="170"/>
      <c r="E757" s="170"/>
      <c r="F757" s="170"/>
      <c r="G757" s="170"/>
      <c r="H757" s="158">
        <v>0</v>
      </c>
    </row>
    <row r="758" spans="2:8" x14ac:dyDescent="0.25">
      <c r="B758" s="169" t="s">
        <v>466</v>
      </c>
      <c r="C758" s="170"/>
      <c r="D758" s="170"/>
      <c r="E758" s="170"/>
      <c r="F758" s="170"/>
      <c r="G758" s="170"/>
      <c r="H758" s="158">
        <f>D670</f>
        <v>12000</v>
      </c>
    </row>
    <row r="759" spans="2:8" x14ac:dyDescent="0.25">
      <c r="B759" s="169" t="s">
        <v>510</v>
      </c>
      <c r="C759" s="170"/>
      <c r="D759" s="170"/>
      <c r="E759" s="170"/>
      <c r="F759" s="170"/>
      <c r="G759" s="170"/>
      <c r="H759" s="158">
        <f>H760+H761+H762</f>
        <v>10000</v>
      </c>
    </row>
    <row r="760" spans="2:8" x14ac:dyDescent="0.25">
      <c r="B760" s="169" t="s">
        <v>468</v>
      </c>
      <c r="C760" s="170"/>
      <c r="D760" s="170"/>
      <c r="E760" s="170"/>
      <c r="F760" s="170"/>
      <c r="G760" s="170"/>
      <c r="H760" s="158">
        <v>0</v>
      </c>
    </row>
    <row r="761" spans="2:8" x14ac:dyDescent="0.25">
      <c r="B761" s="169" t="s">
        <v>469</v>
      </c>
      <c r="C761" s="170"/>
      <c r="D761" s="170"/>
      <c r="E761" s="170"/>
      <c r="F761" s="170"/>
      <c r="G761" s="170"/>
      <c r="H761" s="158">
        <v>0</v>
      </c>
    </row>
    <row r="762" spans="2:8" x14ac:dyDescent="0.25">
      <c r="B762" s="169" t="s">
        <v>470</v>
      </c>
      <c r="C762" s="170"/>
      <c r="D762" s="170"/>
      <c r="E762" s="170"/>
      <c r="F762" s="170"/>
      <c r="G762" s="170"/>
      <c r="H762" s="158">
        <f>H663</f>
        <v>10000</v>
      </c>
    </row>
    <row r="763" spans="2:8" x14ac:dyDescent="0.25">
      <c r="B763" s="169" t="s">
        <v>511</v>
      </c>
      <c r="C763" s="170"/>
      <c r="D763" s="170"/>
      <c r="E763" s="170"/>
      <c r="F763" s="170"/>
      <c r="G763" s="170"/>
      <c r="H763" s="160">
        <f>H753+H754-H759</f>
        <v>5400</v>
      </c>
    </row>
    <row r="764" spans="2:8" x14ac:dyDescent="0.25">
      <c r="B764" s="169" t="s">
        <v>512</v>
      </c>
      <c r="C764" s="170"/>
      <c r="D764" s="170"/>
      <c r="E764" s="170"/>
      <c r="F764" s="170"/>
      <c r="G764" s="170"/>
      <c r="H764" s="158">
        <f>H765+H770+H772+H774+H775</f>
        <v>26500</v>
      </c>
    </row>
    <row r="765" spans="2:8" x14ac:dyDescent="0.25">
      <c r="B765" s="169" t="s">
        <v>473</v>
      </c>
      <c r="C765" s="170"/>
      <c r="D765" s="170"/>
      <c r="E765" s="170"/>
      <c r="F765" s="170"/>
      <c r="G765" s="170"/>
      <c r="H765" s="158">
        <f>H766+H768</f>
        <v>25000</v>
      </c>
    </row>
    <row r="766" spans="2:8" x14ac:dyDescent="0.25">
      <c r="B766" s="169" t="s">
        <v>474</v>
      </c>
      <c r="C766" s="170"/>
      <c r="D766" s="170"/>
      <c r="E766" s="170"/>
      <c r="F766" s="170"/>
      <c r="G766" s="170"/>
      <c r="H766" s="158">
        <f>H767</f>
        <v>25000</v>
      </c>
    </row>
    <row r="767" spans="2:8" x14ac:dyDescent="0.25">
      <c r="B767" s="169" t="s">
        <v>475</v>
      </c>
      <c r="C767" s="170"/>
      <c r="D767" s="170"/>
      <c r="E767" s="170"/>
      <c r="F767" s="170"/>
      <c r="G767" s="170"/>
      <c r="H767" s="158">
        <f>D664</f>
        <v>25000</v>
      </c>
    </row>
    <row r="768" spans="2:8" x14ac:dyDescent="0.25">
      <c r="B768" s="169" t="s">
        <v>476</v>
      </c>
      <c r="C768" s="170"/>
      <c r="D768" s="170"/>
      <c r="E768" s="170"/>
      <c r="F768" s="170"/>
      <c r="G768" s="170"/>
      <c r="H768" s="158">
        <v>0</v>
      </c>
    </row>
    <row r="769" spans="2:8" x14ac:dyDescent="0.25">
      <c r="B769" s="169" t="s">
        <v>475</v>
      </c>
      <c r="C769" s="170"/>
      <c r="D769" s="170"/>
      <c r="E769" s="170"/>
      <c r="F769" s="170"/>
      <c r="G769" s="170"/>
      <c r="H769" s="158">
        <v>0</v>
      </c>
    </row>
    <row r="770" spans="2:8" x14ac:dyDescent="0.25">
      <c r="B770" s="169" t="s">
        <v>477</v>
      </c>
      <c r="C770" s="170"/>
      <c r="D770" s="170"/>
      <c r="E770" s="170"/>
      <c r="F770" s="170"/>
      <c r="G770" s="170"/>
      <c r="H770" s="158">
        <f>D663</f>
        <v>1500</v>
      </c>
    </row>
    <row r="771" spans="2:8" x14ac:dyDescent="0.25">
      <c r="B771" s="169" t="s">
        <v>451</v>
      </c>
      <c r="C771" s="170"/>
      <c r="D771" s="170"/>
      <c r="E771" s="170"/>
      <c r="F771" s="170"/>
      <c r="G771" s="170"/>
      <c r="H771" s="158">
        <v>0</v>
      </c>
    </row>
    <row r="772" spans="2:8" x14ac:dyDescent="0.25">
      <c r="B772" s="169" t="s">
        <v>478</v>
      </c>
      <c r="C772" s="170"/>
      <c r="D772" s="170"/>
      <c r="E772" s="170"/>
      <c r="F772" s="170"/>
      <c r="G772" s="170"/>
      <c r="H772" s="158">
        <v>0</v>
      </c>
    </row>
    <row r="773" spans="2:8" x14ac:dyDescent="0.25">
      <c r="B773" s="169" t="s">
        <v>479</v>
      </c>
      <c r="C773" s="170"/>
      <c r="D773" s="170"/>
      <c r="E773" s="170"/>
      <c r="F773" s="170"/>
      <c r="G773" s="170"/>
      <c r="H773" s="158">
        <v>0</v>
      </c>
    </row>
    <row r="774" spans="2:8" x14ac:dyDescent="0.25">
      <c r="B774" s="169" t="s">
        <v>480</v>
      </c>
      <c r="C774" s="170"/>
      <c r="D774" s="170"/>
      <c r="E774" s="170"/>
      <c r="F774" s="170"/>
      <c r="G774" s="170"/>
      <c r="H774" s="158">
        <v>0</v>
      </c>
    </row>
    <row r="775" spans="2:8" x14ac:dyDescent="0.25">
      <c r="B775" s="169" t="s">
        <v>481</v>
      </c>
      <c r="C775" s="170"/>
      <c r="D775" s="170"/>
      <c r="E775" s="170"/>
      <c r="F775" s="170"/>
      <c r="G775" s="170"/>
      <c r="H775" s="158">
        <v>0</v>
      </c>
    </row>
    <row r="776" spans="2:8" x14ac:dyDescent="0.25">
      <c r="B776" s="169" t="s">
        <v>513</v>
      </c>
      <c r="C776" s="170"/>
      <c r="D776" s="170"/>
      <c r="E776" s="170"/>
      <c r="F776" s="170"/>
      <c r="G776" s="170"/>
      <c r="H776" s="158">
        <f>H777+H779+H781+H782</f>
        <v>0</v>
      </c>
    </row>
    <row r="777" spans="2:8" x14ac:dyDescent="0.25">
      <c r="B777" s="169" t="s">
        <v>483</v>
      </c>
      <c r="C777" s="170"/>
      <c r="D777" s="170"/>
      <c r="E777" s="170"/>
      <c r="F777" s="170"/>
      <c r="G777" s="170"/>
      <c r="H777" s="158">
        <v>0</v>
      </c>
    </row>
    <row r="778" spans="2:8" x14ac:dyDescent="0.25">
      <c r="B778" s="169" t="s">
        <v>484</v>
      </c>
      <c r="C778" s="170"/>
      <c r="D778" s="170"/>
      <c r="E778" s="170"/>
      <c r="F778" s="170"/>
      <c r="G778" s="170"/>
      <c r="H778" s="158">
        <v>0</v>
      </c>
    </row>
    <row r="779" spans="2:8" x14ac:dyDescent="0.25">
      <c r="B779" s="169" t="s">
        <v>485</v>
      </c>
      <c r="C779" s="170"/>
      <c r="D779" s="170"/>
      <c r="E779" s="170"/>
      <c r="F779" s="170"/>
      <c r="G779" s="170"/>
      <c r="H779" s="158">
        <v>0</v>
      </c>
    </row>
    <row r="780" spans="2:8" x14ac:dyDescent="0.25">
      <c r="B780" s="169" t="s">
        <v>479</v>
      </c>
      <c r="C780" s="170"/>
      <c r="D780" s="170"/>
      <c r="E780" s="170"/>
      <c r="F780" s="170"/>
      <c r="G780" s="170"/>
      <c r="H780" s="158">
        <v>0</v>
      </c>
    </row>
    <row r="781" spans="2:8" x14ac:dyDescent="0.25">
      <c r="B781" s="169" t="s">
        <v>486</v>
      </c>
      <c r="C781" s="170"/>
      <c r="D781" s="170"/>
      <c r="E781" s="170"/>
      <c r="F781" s="170"/>
      <c r="G781" s="170"/>
      <c r="H781" s="158">
        <v>0</v>
      </c>
    </row>
    <row r="782" spans="2:8" x14ac:dyDescent="0.25">
      <c r="B782" s="169" t="s">
        <v>487</v>
      </c>
      <c r="C782" s="170"/>
      <c r="D782" s="170"/>
      <c r="E782" s="170"/>
      <c r="F782" s="170"/>
      <c r="G782" s="170"/>
      <c r="H782" s="158">
        <v>0</v>
      </c>
    </row>
    <row r="783" spans="2:8" x14ac:dyDescent="0.25">
      <c r="B783" s="169" t="s">
        <v>514</v>
      </c>
      <c r="C783" s="170"/>
      <c r="D783" s="170"/>
      <c r="E783" s="170"/>
      <c r="F783" s="170"/>
      <c r="G783" s="170"/>
      <c r="H783" s="161">
        <f>H763+H764-H776</f>
        <v>31900</v>
      </c>
    </row>
    <row r="784" spans="2:8" x14ac:dyDescent="0.25">
      <c r="B784" s="169" t="s">
        <v>515</v>
      </c>
      <c r="C784" s="170"/>
      <c r="D784" s="170"/>
      <c r="E784" s="170"/>
      <c r="F784" s="170"/>
      <c r="G784" s="170"/>
      <c r="H784" s="158"/>
    </row>
    <row r="785" spans="2:8" x14ac:dyDescent="0.25">
      <c r="B785" s="169" t="s">
        <v>516</v>
      </c>
      <c r="C785" s="170"/>
      <c r="D785" s="170"/>
      <c r="E785" s="170"/>
      <c r="F785" s="170"/>
      <c r="G785" s="170"/>
      <c r="H785" s="158"/>
    </row>
    <row r="786" spans="2:8" x14ac:dyDescent="0.25">
      <c r="B786" s="169" t="s">
        <v>517</v>
      </c>
      <c r="C786" s="170"/>
      <c r="D786" s="170"/>
      <c r="E786" s="170"/>
      <c r="F786" s="170"/>
      <c r="G786" s="170"/>
      <c r="H786" s="158"/>
    </row>
    <row r="788" spans="2:8" x14ac:dyDescent="0.25">
      <c r="B788" s="27" t="s">
        <v>518</v>
      </c>
    </row>
    <row r="789" spans="2:8" x14ac:dyDescent="0.25">
      <c r="B789" s="26"/>
    </row>
    <row r="790" spans="2:8" x14ac:dyDescent="0.25">
      <c r="B790" s="1" t="s">
        <v>566</v>
      </c>
    </row>
    <row r="791" spans="2:8" x14ac:dyDescent="0.25">
      <c r="B791" s="1" t="s">
        <v>568</v>
      </c>
    </row>
    <row r="792" spans="2:8" x14ac:dyDescent="0.25">
      <c r="B792" s="1" t="s">
        <v>567</v>
      </c>
    </row>
    <row r="793" spans="2:8" x14ac:dyDescent="0.25">
      <c r="B793" s="164" t="s">
        <v>541</v>
      </c>
    </row>
    <row r="794" spans="2:8" x14ac:dyDescent="0.25">
      <c r="B794" s="1" t="s">
        <v>569</v>
      </c>
    </row>
    <row r="795" spans="2:8" x14ac:dyDescent="0.25">
      <c r="B795" s="1" t="s">
        <v>571</v>
      </c>
    </row>
    <row r="796" spans="2:8" x14ac:dyDescent="0.25">
      <c r="B796" s="1" t="s">
        <v>572</v>
      </c>
    </row>
    <row r="797" spans="2:8" x14ac:dyDescent="0.25">
      <c r="B797" s="164" t="s">
        <v>570</v>
      </c>
    </row>
    <row r="798" spans="2:8" x14ac:dyDescent="0.25">
      <c r="B798" s="1" t="s">
        <v>532</v>
      </c>
    </row>
    <row r="799" spans="2:8" x14ac:dyDescent="0.25">
      <c r="B799" s="1" t="s">
        <v>573</v>
      </c>
    </row>
    <row r="800" spans="2:8" x14ac:dyDescent="0.25">
      <c r="B800" s="138" t="s">
        <v>574</v>
      </c>
    </row>
    <row r="802" spans="2:2" x14ac:dyDescent="0.25">
      <c r="B802" s="26" t="s">
        <v>565</v>
      </c>
    </row>
    <row r="804" spans="2:2" x14ac:dyDescent="0.25">
      <c r="B804" s="26" t="s">
        <v>548</v>
      </c>
    </row>
    <row r="805" spans="2:2" x14ac:dyDescent="0.25">
      <c r="B805" s="26" t="s">
        <v>549</v>
      </c>
    </row>
    <row r="806" spans="2:2" x14ac:dyDescent="0.25">
      <c r="B806" s="26" t="s">
        <v>553</v>
      </c>
    </row>
    <row r="807" spans="2:2" x14ac:dyDescent="0.25">
      <c r="B807" s="26" t="s">
        <v>554</v>
      </c>
    </row>
    <row r="808" spans="2:2" x14ac:dyDescent="0.25">
      <c r="B808" s="26" t="s">
        <v>576</v>
      </c>
    </row>
    <row r="809" spans="2:2" x14ac:dyDescent="0.25">
      <c r="B809" s="26" t="s">
        <v>555</v>
      </c>
    </row>
    <row r="810" spans="2:2" x14ac:dyDescent="0.25">
      <c r="B810" s="26" t="s">
        <v>551</v>
      </c>
    </row>
    <row r="811" spans="2:2" x14ac:dyDescent="0.25">
      <c r="B811" s="26" t="s">
        <v>552</v>
      </c>
    </row>
    <row r="812" spans="2:2" x14ac:dyDescent="0.25">
      <c r="B812" s="26" t="s">
        <v>556</v>
      </c>
    </row>
    <row r="813" spans="2:2" x14ac:dyDescent="0.25">
      <c r="B813" s="26" t="s">
        <v>575</v>
      </c>
    </row>
    <row r="814" spans="2:2" x14ac:dyDescent="0.25">
      <c r="B814" s="26" t="s">
        <v>562</v>
      </c>
    </row>
    <row r="815" spans="2:2" x14ac:dyDescent="0.25">
      <c r="B815" s="26" t="s">
        <v>563</v>
      </c>
    </row>
    <row r="816" spans="2:2" x14ac:dyDescent="0.25">
      <c r="B816" s="26" t="s">
        <v>564</v>
      </c>
    </row>
  </sheetData>
  <mergeCells count="111">
    <mergeCell ref="B689:G689"/>
    <mergeCell ref="B690:G690"/>
    <mergeCell ref="B691:G691"/>
    <mergeCell ref="B692:G692"/>
    <mergeCell ref="B693:G693"/>
    <mergeCell ref="B228:J228"/>
    <mergeCell ref="B229:F229"/>
    <mergeCell ref="G229:J229"/>
    <mergeCell ref="B25:I25"/>
    <mergeCell ref="B26:E26"/>
    <mergeCell ref="F26:I26"/>
    <mergeCell ref="B78:I78"/>
    <mergeCell ref="B79:E79"/>
    <mergeCell ref="F79:I79"/>
    <mergeCell ref="B102:J102"/>
    <mergeCell ref="B103:F103"/>
    <mergeCell ref="G103:J103"/>
    <mergeCell ref="B148:J148"/>
    <mergeCell ref="B149:F149"/>
    <mergeCell ref="G149:J149"/>
    <mergeCell ref="B699:G699"/>
    <mergeCell ref="B700:G700"/>
    <mergeCell ref="B701:G701"/>
    <mergeCell ref="B702:G702"/>
    <mergeCell ref="B703:G703"/>
    <mergeCell ref="B694:G694"/>
    <mergeCell ref="B695:G695"/>
    <mergeCell ref="B696:G696"/>
    <mergeCell ref="B697:G697"/>
    <mergeCell ref="B698:G698"/>
    <mergeCell ref="B709:G709"/>
    <mergeCell ref="B710:G710"/>
    <mergeCell ref="B711:G711"/>
    <mergeCell ref="B712:G712"/>
    <mergeCell ref="B713:G713"/>
    <mergeCell ref="B704:G704"/>
    <mergeCell ref="B705:G705"/>
    <mergeCell ref="B706:G706"/>
    <mergeCell ref="B707:G707"/>
    <mergeCell ref="B708:G708"/>
    <mergeCell ref="B719:G719"/>
    <mergeCell ref="B720:G720"/>
    <mergeCell ref="B721:G721"/>
    <mergeCell ref="B722:G722"/>
    <mergeCell ref="B723:G723"/>
    <mergeCell ref="B714:G714"/>
    <mergeCell ref="B715:G715"/>
    <mergeCell ref="B716:G716"/>
    <mergeCell ref="B717:G717"/>
    <mergeCell ref="B718:G718"/>
    <mergeCell ref="B729:G729"/>
    <mergeCell ref="B730:G730"/>
    <mergeCell ref="B731:G731"/>
    <mergeCell ref="B732:G732"/>
    <mergeCell ref="B733:G733"/>
    <mergeCell ref="B724:G724"/>
    <mergeCell ref="B725:G725"/>
    <mergeCell ref="B726:G726"/>
    <mergeCell ref="B727:G727"/>
    <mergeCell ref="B728:G728"/>
    <mergeCell ref="B741:G741"/>
    <mergeCell ref="B742:G742"/>
    <mergeCell ref="B743:G743"/>
    <mergeCell ref="B744:G744"/>
    <mergeCell ref="B745:G745"/>
    <mergeCell ref="B736:G736"/>
    <mergeCell ref="B737:G737"/>
    <mergeCell ref="B738:G738"/>
    <mergeCell ref="B739:G739"/>
    <mergeCell ref="B740:G740"/>
    <mergeCell ref="B751:G751"/>
    <mergeCell ref="B752:G752"/>
    <mergeCell ref="B753:G753"/>
    <mergeCell ref="B754:G754"/>
    <mergeCell ref="B755:G755"/>
    <mergeCell ref="B746:G746"/>
    <mergeCell ref="B747:G747"/>
    <mergeCell ref="B748:G748"/>
    <mergeCell ref="B749:G749"/>
    <mergeCell ref="B750:G750"/>
    <mergeCell ref="B761:G761"/>
    <mergeCell ref="B762:G762"/>
    <mergeCell ref="B763:G763"/>
    <mergeCell ref="B764:G764"/>
    <mergeCell ref="B765:G765"/>
    <mergeCell ref="B756:G756"/>
    <mergeCell ref="B757:G757"/>
    <mergeCell ref="B758:G758"/>
    <mergeCell ref="B759:G759"/>
    <mergeCell ref="B760:G760"/>
    <mergeCell ref="B771:G771"/>
    <mergeCell ref="B772:G772"/>
    <mergeCell ref="B773:G773"/>
    <mergeCell ref="B774:G774"/>
    <mergeCell ref="B775:G775"/>
    <mergeCell ref="B766:G766"/>
    <mergeCell ref="B767:G767"/>
    <mergeCell ref="B768:G768"/>
    <mergeCell ref="B769:G769"/>
    <mergeCell ref="B770:G770"/>
    <mergeCell ref="B786:G786"/>
    <mergeCell ref="B781:G781"/>
    <mergeCell ref="B782:G782"/>
    <mergeCell ref="B783:G783"/>
    <mergeCell ref="B784:G784"/>
    <mergeCell ref="B785:G785"/>
    <mergeCell ref="B776:G776"/>
    <mergeCell ref="B777:G777"/>
    <mergeCell ref="B778:G778"/>
    <mergeCell ref="B779:G779"/>
    <mergeCell ref="B780:G78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grupa 1</vt:lpstr>
      <vt:lpstr>grupa 2</vt:lpstr>
      <vt:lpstr>grupa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</dc:creator>
  <cp:lastModifiedBy>Użytkownik systemu Windows</cp:lastModifiedBy>
  <dcterms:created xsi:type="dcterms:W3CDTF">2015-06-05T18:17:20Z</dcterms:created>
  <dcterms:modified xsi:type="dcterms:W3CDTF">2026-01-13T16:57:52Z</dcterms:modified>
</cp:coreProperties>
</file>