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daktyka\2021_22\IPSiR\Statystyka IPSiR\wykład01\"/>
    </mc:Choice>
  </mc:AlternateContent>
  <xr:revisionPtr revIDLastSave="0" documentId="13_ncr:1_{C1F967F5-CF3A-4CAF-9C01-F76EA741AEFF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Zadanie 1" sheetId="1" r:id="rId1"/>
    <sheet name="Zadanie 2" sheetId="2" r:id="rId2"/>
  </sheets>
  <calcPr calcId="191029"/>
</workbook>
</file>

<file path=xl/calcChain.xml><?xml version="1.0" encoding="utf-8"?>
<calcChain xmlns="http://schemas.openxmlformats.org/spreadsheetml/2006/main">
  <c r="K22" i="2" l="1"/>
  <c r="K16" i="2"/>
  <c r="K29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11" i="2"/>
  <c r="O29" i="2"/>
  <c r="O22" i="2"/>
  <c r="O16" i="2"/>
  <c r="N29" i="2"/>
  <c r="N22" i="2"/>
  <c r="N16" i="2"/>
  <c r="M29" i="2"/>
  <c r="M22" i="2"/>
  <c r="M16" i="2"/>
  <c r="H36" i="2"/>
  <c r="H43" i="2" l="1"/>
  <c r="K35" i="2"/>
  <c r="M22" i="1"/>
  <c r="M21" i="1"/>
  <c r="M15" i="1"/>
  <c r="M16" i="1"/>
  <c r="M17" i="1"/>
  <c r="M18" i="1"/>
  <c r="M19" i="1"/>
  <c r="M20" i="1"/>
  <c r="M14" i="1"/>
  <c r="K22" i="1"/>
  <c r="Q9" i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8" i="1"/>
  <c r="G14" i="1"/>
  <c r="O47" i="2" l="1"/>
  <c r="P47" i="2" s="1"/>
  <c r="N47" i="2"/>
  <c r="L47" i="2"/>
  <c r="H44" i="2"/>
  <c r="H47" i="2" s="1"/>
  <c r="H45" i="2"/>
  <c r="H46" i="2"/>
  <c r="J36" i="2"/>
  <c r="I36" i="2"/>
  <c r="G36" i="2"/>
  <c r="I13" i="2"/>
  <c r="I15" i="2"/>
  <c r="I16" i="2"/>
  <c r="I17" i="2"/>
  <c r="I18" i="2"/>
  <c r="I19" i="2"/>
  <c r="I21" i="2"/>
  <c r="I22" i="2"/>
  <c r="I25" i="2"/>
  <c r="I27" i="2"/>
  <c r="I28" i="2"/>
  <c r="I29" i="2"/>
  <c r="I30" i="2"/>
  <c r="I31" i="2"/>
  <c r="I32" i="2"/>
  <c r="I33" i="2"/>
  <c r="I34" i="2"/>
  <c r="G35" i="2"/>
  <c r="I11" i="2" s="1"/>
  <c r="B64" i="2"/>
  <c r="B66" i="2" s="1"/>
  <c r="B67" i="2" s="1"/>
  <c r="B68" i="2" s="1"/>
  <c r="I44" i="2" l="1"/>
  <c r="J44" i="2" s="1"/>
  <c r="I45" i="2"/>
  <c r="J45" i="2" s="1"/>
  <c r="I46" i="2"/>
  <c r="J46" i="2" s="1"/>
  <c r="I43" i="2"/>
  <c r="J43" i="2" s="1"/>
  <c r="J47" i="2" s="1"/>
  <c r="K47" i="2" s="1"/>
  <c r="I20" i="2"/>
  <c r="I26" i="2"/>
  <c r="I14" i="2"/>
  <c r="I24" i="2"/>
  <c r="I12" i="2"/>
  <c r="I10" i="2"/>
  <c r="I23" i="2"/>
  <c r="I35" i="2" l="1"/>
  <c r="J35" i="2" s="1"/>
  <c r="E43" i="2"/>
  <c r="E44" i="2" s="1"/>
  <c r="E45" i="2" s="1"/>
  <c r="E46" i="2" s="1"/>
  <c r="C47" i="2"/>
  <c r="D45" i="2" s="1"/>
  <c r="A48" i="1"/>
  <c r="A49" i="1" s="1"/>
  <c r="B21" i="1"/>
  <c r="A15" i="1"/>
  <c r="D14" i="1"/>
  <c r="D15" i="1" s="1"/>
  <c r="D16" i="1" s="1"/>
  <c r="G15" i="1" l="1"/>
  <c r="C18" i="1"/>
  <c r="D44" i="2"/>
  <c r="D47" i="2"/>
  <c r="D43" i="2"/>
  <c r="F43" i="2" s="1"/>
  <c r="F44" i="2" s="1"/>
  <c r="F45" i="2" s="1"/>
  <c r="D46" i="2"/>
  <c r="M47" i="2" s="1"/>
  <c r="A50" i="1"/>
  <c r="A16" i="1"/>
  <c r="C17" i="1"/>
  <c r="C14" i="1"/>
  <c r="F14" i="1"/>
  <c r="C20" i="1"/>
  <c r="C15" i="1"/>
  <c r="H15" i="1" s="1"/>
  <c r="F16" i="1"/>
  <c r="D17" i="1"/>
  <c r="C16" i="1"/>
  <c r="C19" i="1"/>
  <c r="F15" i="1"/>
  <c r="E14" i="1" l="1"/>
  <c r="H14" i="1"/>
  <c r="H16" i="1"/>
  <c r="F46" i="2"/>
  <c r="A51" i="1"/>
  <c r="A52" i="1"/>
  <c r="B48" i="1"/>
  <c r="B47" i="1"/>
  <c r="B49" i="1"/>
  <c r="B50" i="1"/>
  <c r="G16" i="1"/>
  <c r="A17" i="1"/>
  <c r="E15" i="1"/>
  <c r="E16" i="1" s="1"/>
  <c r="E17" i="1" s="1"/>
  <c r="E18" i="1" s="1"/>
  <c r="E19" i="1" s="1"/>
  <c r="E20" i="1" s="1"/>
  <c r="F17" i="1"/>
  <c r="D18" i="1"/>
  <c r="C21" i="1"/>
  <c r="H17" i="1" l="1"/>
  <c r="A54" i="1"/>
  <c r="A55" i="1" s="1"/>
  <c r="A53" i="1"/>
  <c r="A18" i="1"/>
  <c r="H18" i="1" s="1"/>
  <c r="G17" i="1"/>
  <c r="D19" i="1"/>
  <c r="F18" i="1"/>
  <c r="B51" i="1" l="1"/>
  <c r="B52" i="1"/>
  <c r="A19" i="1"/>
  <c r="G18" i="1"/>
  <c r="F19" i="1"/>
  <c r="D20" i="1"/>
  <c r="F20" i="1" s="1"/>
  <c r="H19" i="1" l="1"/>
  <c r="B54" i="1"/>
  <c r="B53" i="1"/>
  <c r="A20" i="1"/>
  <c r="G19" i="1"/>
  <c r="G20" i="1" l="1"/>
  <c r="G21" i="1" s="1"/>
  <c r="G22" i="1" s="1"/>
  <c r="H20" i="1"/>
  <c r="H21" i="1"/>
  <c r="L18" i="1" l="1"/>
  <c r="S11" i="1"/>
  <c r="S23" i="1"/>
  <c r="S12" i="1"/>
  <c r="S24" i="1"/>
  <c r="S9" i="1"/>
  <c r="S13" i="1"/>
  <c r="S25" i="1"/>
  <c r="S27" i="1"/>
  <c r="S16" i="1"/>
  <c r="S29" i="1"/>
  <c r="S18" i="1"/>
  <c r="S8" i="1"/>
  <c r="S10" i="1"/>
  <c r="S14" i="1"/>
  <c r="S26" i="1"/>
  <c r="S15" i="1"/>
  <c r="S28" i="1"/>
  <c r="S17" i="1"/>
  <c r="S30" i="1"/>
  <c r="S19" i="1"/>
  <c r="S31" i="1"/>
  <c r="S20" i="1"/>
  <c r="S7" i="1"/>
  <c r="S21" i="1"/>
  <c r="S22" i="1"/>
  <c r="L14" i="1"/>
  <c r="L15" i="1"/>
  <c r="L16" i="1"/>
  <c r="L17" i="1"/>
  <c r="L19" i="1"/>
  <c r="L20" i="1"/>
  <c r="S33" i="1" l="1"/>
  <c r="S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I12" authorId="0" shapeId="0" xr:uid="{2F59B654-9487-4AED-AAAF-D702B27D850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(n+1)/2 dla n-nieparzyste
26/2 = 13 (obs.)
</t>
        </r>
      </text>
    </comment>
    <comment ref="K12" authorId="0" shapeId="0" xr:uid="{7E95AF72-5F44-469E-BAA5-C6CBFDC11D3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slajd 17 : wariancja dla danych pogrupowanych (szereg rozdzielczy punktowy)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G8" authorId="0" shapeId="0" xr:uid="{3D33F9A4-51B7-4F4A-8FED-F37C831BF0C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slajd 4.</t>
        </r>
      </text>
    </comment>
    <comment ref="H8" authorId="0" shapeId="0" xr:uid="{19573257-9769-401C-8615-C10413D4D97B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slajd 8
</t>
        </r>
      </text>
    </comment>
    <comment ref="I8" authorId="0" shapeId="0" xr:uid="{D6E69D2C-CBA2-4935-8D3A-8E9C874FD55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s.17
</t>
        </r>
      </text>
    </comment>
    <comment ref="J8" authorId="0" shapeId="0" xr:uid="{0C35637A-76B8-4B28-A1C1-C33D27390F5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s.22</t>
        </r>
      </text>
    </comment>
    <comment ref="G41" authorId="0" shapeId="0" xr:uid="{90143777-11F2-4D93-AC88-192C9714E7B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s.6</t>
        </r>
      </text>
    </comment>
    <comment ref="I41" authorId="0" shapeId="0" xr:uid="{D5707180-7A12-4B2C-9920-29338ACE7967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s.18</t>
        </r>
      </text>
    </comment>
    <comment ref="L41" authorId="0" shapeId="0" xr:uid="{56B3005E-FCAF-48DE-9173-8522D50C31E3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s.10</t>
        </r>
      </text>
    </comment>
    <comment ref="M41" authorId="0" shapeId="0" xr:uid="{FFF1C755-22CC-499B-B4A7-F8FF64267886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s.11</t>
        </r>
      </text>
    </comment>
  </commentList>
</comments>
</file>

<file path=xl/sharedStrings.xml><?xml version="1.0" encoding="utf-8"?>
<sst xmlns="http://schemas.openxmlformats.org/spreadsheetml/2006/main" count="82" uniqueCount="71">
  <si>
    <t>Zadanie 1,</t>
  </si>
  <si>
    <t>W grupie 25 studentów zbadano oceny pracy kontrolnej ze statystyki, Otrzymano wyniki: 3,5; 4;</t>
  </si>
  <si>
    <t>rozdzielczym, Podaj czestosci dla poszczególnych ocen, Wyznacz i narysuj dystrybuante empiryczna</t>
  </si>
  <si>
    <t>mediane, mode, wariancje próbkowa),</t>
  </si>
  <si>
    <t>Wskazówka: W1, przykład</t>
  </si>
  <si>
    <t>szereg rozdzielczy punktowy</t>
  </si>
  <si>
    <t>Liczebości</t>
  </si>
  <si>
    <t>Częstości</t>
  </si>
  <si>
    <t>liczebności skumulowane</t>
  </si>
  <si>
    <t>częstości skumulowane</t>
  </si>
  <si>
    <t>[dystrybuanta empiryczna]</t>
  </si>
  <si>
    <t>średnia</t>
  </si>
  <si>
    <r>
      <t xml:space="preserve">3; 3,5; 4,5; 3; 3; 3; 2,5; 4; 2; 3,5; 2; 2,5; 3,5; 4; 5; 2,5; 3; 2; 5; 4; 2; 3; 3, Przedstaw dane </t>
    </r>
    <r>
      <rPr>
        <b/>
        <sz val="11"/>
        <color theme="1"/>
        <rFont val="PLRoman10-Regular"/>
        <charset val="238"/>
      </rPr>
      <t>w szeregu</t>
    </r>
  </si>
  <si>
    <r>
      <t xml:space="preserve">oraz </t>
    </r>
    <r>
      <rPr>
        <b/>
        <sz val="11"/>
        <color theme="1"/>
        <rFont val="PLRoman10-Regular"/>
        <charset val="238"/>
      </rPr>
      <t>wykres słupkowy czestosci</t>
    </r>
    <r>
      <rPr>
        <sz val="11"/>
        <color theme="1"/>
        <rFont val="PLRoman10-Regular"/>
        <charset val="238"/>
      </rPr>
      <t>, Wyznacz podstawowe miary połozenia i rozproszenia (wartosc srednia,</t>
    </r>
  </si>
  <si>
    <t>W grupie 25 osób piszacych prace kontrolna ze statystyki zbadano czas pisania tej pracy. Otrzymano</t>
  </si>
  <si>
    <t>wyniki w minutach: 83; 85; 89; 63; 75; 82; 88; 81; 65; 88; 83; 74; 52; 85; 71; 60; 87; 81; 88; 59;</t>
  </si>
  <si>
    <t>próbkowa, odchylenie przecietne, rozstep miedzykwartylowy.</t>
  </si>
  <si>
    <t>1.  dane indywidualne</t>
  </si>
  <si>
    <t>2. dane posortowane</t>
  </si>
  <si>
    <r>
      <t>82; 78; 86; 78; 89. Przedstaw dane w szeregu rozdzielczym przyjmujac liczbe</t>
    </r>
    <r>
      <rPr>
        <b/>
        <sz val="11"/>
        <color theme="1"/>
        <rFont val="Arial"/>
        <family val="2"/>
        <charset val="238"/>
      </rPr>
      <t xml:space="preserve"> 4 klas równej szerokosci</t>
    </r>
    <r>
      <rPr>
        <sz val="11"/>
        <color theme="1"/>
        <rFont val="Arial"/>
        <family val="2"/>
        <charset val="238"/>
      </rPr>
      <t>.</t>
    </r>
  </si>
  <si>
    <t>(50-60]</t>
  </si>
  <si>
    <t>(60-70]</t>
  </si>
  <si>
    <t>(70-80]</t>
  </si>
  <si>
    <t>(80-90]</t>
  </si>
  <si>
    <t xml:space="preserve">n_i </t>
  </si>
  <si>
    <t>w_i</t>
  </si>
  <si>
    <t>liczebność</t>
  </si>
  <si>
    <t>częstość</t>
  </si>
  <si>
    <t>rozpiętość przedziału klasowego</t>
  </si>
  <si>
    <t>liczebność skumulowana</t>
  </si>
  <si>
    <t>X</t>
  </si>
  <si>
    <t>częstość skumulowana [dystrybuanta empiryczna]</t>
  </si>
  <si>
    <t>szereg rozdzielczy przedziałowy [s.16-20]</t>
  </si>
  <si>
    <r>
      <t xml:space="preserve">Wyznacz </t>
    </r>
    <r>
      <rPr>
        <b/>
        <sz val="11"/>
        <color theme="1"/>
        <rFont val="Arial"/>
        <family val="2"/>
        <charset val="238"/>
      </rPr>
      <t>dystrybuante empiryczna i histogram czestosci</t>
    </r>
    <r>
      <rPr>
        <sz val="11"/>
        <color theme="1"/>
        <rFont val="Arial"/>
        <family val="2"/>
        <charset val="238"/>
      </rPr>
      <t>. Wyznacz srednia, mediane, wariancje</t>
    </r>
  </si>
  <si>
    <t>srednia</t>
  </si>
  <si>
    <t>x(i)</t>
  </si>
  <si>
    <t>n(i)</t>
  </si>
  <si>
    <t>w(i)</t>
  </si>
  <si>
    <t>ns(i)</t>
  </si>
  <si>
    <t>ws(i)</t>
  </si>
  <si>
    <t>F(n)</t>
  </si>
  <si>
    <t>średnia [liczebności]</t>
  </si>
  <si>
    <t>średnia [częstości]</t>
  </si>
  <si>
    <t>mediana</t>
  </si>
  <si>
    <t>wariancja próbkowa</t>
  </si>
  <si>
    <t>(x_i-x(sr))^2</t>
  </si>
  <si>
    <t>*n_i</t>
  </si>
  <si>
    <t>N=</t>
  </si>
  <si>
    <t>(n+1)/2=13</t>
  </si>
  <si>
    <t xml:space="preserve">wariancja </t>
  </si>
  <si>
    <t>(x_j-x(sr))^2</t>
  </si>
  <si>
    <t>odchylenie przeciętne</t>
  </si>
  <si>
    <t>odchylenie przeciętne (standardowe)</t>
  </si>
  <si>
    <t>rozstęp międzykwartylowy (IQR) : Q3-Q1</t>
  </si>
  <si>
    <t>Q1 = (1/4)*(n+1)= 6.5       Q2=med. = (2/4)*(n+1)=13                     Q3 = (3/4)*(n+1) = 19.5</t>
  </si>
  <si>
    <t>średnia przedziału</t>
  </si>
  <si>
    <t>wariancja</t>
  </si>
  <si>
    <t>Q1</t>
  </si>
  <si>
    <t>Q3</t>
  </si>
  <si>
    <t>IQR</t>
  </si>
  <si>
    <t>x_i</t>
  </si>
  <si>
    <t>moda/dominanta</t>
  </si>
  <si>
    <t>j</t>
  </si>
  <si>
    <t>n=</t>
  </si>
  <si>
    <t>excel</t>
  </si>
  <si>
    <t>MY</t>
  </si>
  <si>
    <t>Wyniki [ wyniki eksperymentu]</t>
  </si>
  <si>
    <t>Dane indywidualne</t>
  </si>
  <si>
    <t>wariancja na podtstawie danych indywidualnych</t>
  </si>
  <si>
    <t>Q2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</si>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</sst>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[Red]&quot;-&quot;#,##0.00&quot; &quot;[$zł-415]"/>
  </numFmts>
  <fonts count="16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PLRoman10-Bold"/>
      <charset val="238"/>
    </font>
    <font>
      <sz val="11"/>
      <color theme="1"/>
      <name val="PLRoman10-Regular"/>
      <charset val="238"/>
    </font>
    <font>
      <b/>
      <sz val="11"/>
      <color theme="1"/>
      <name val="PLRoman10-Regular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PLRoman10-Regular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9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2" borderId="0" xfId="0" applyFill="1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2" xfId="0" applyFont="1" applyBorder="1"/>
    <xf numFmtId="0" fontId="0" fillId="0" borderId="2" xfId="0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0" fillId="0" borderId="2" xfId="0" applyBorder="1"/>
    <xf numFmtId="0" fontId="4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Border="1"/>
    <xf numFmtId="0" fontId="15" fillId="0" borderId="5" xfId="0" applyFont="1" applyBorder="1" applyAlignment="1">
      <alignment vertical="center"/>
    </xf>
    <xf numFmtId="0" fontId="7" fillId="0" borderId="4" xfId="0" applyFont="1" applyBorder="1"/>
    <xf numFmtId="0" fontId="13" fillId="0" borderId="0" xfId="0" applyFont="1" applyBorder="1" applyAlignment="1">
      <alignment horizontal="center"/>
    </xf>
    <xf numFmtId="0" fontId="7" fillId="0" borderId="0" xfId="0" applyFont="1" applyBorder="1"/>
    <xf numFmtId="0" fontId="5" fillId="0" borderId="5" xfId="0" applyFont="1" applyBorder="1" applyAlignment="1">
      <alignment vertical="center"/>
    </xf>
    <xf numFmtId="0" fontId="0" fillId="0" borderId="6" xfId="0" applyBorder="1"/>
    <xf numFmtId="0" fontId="0" fillId="0" borderId="7" xfId="0" applyBorder="1"/>
    <xf numFmtId="2" fontId="10" fillId="0" borderId="7" xfId="0" applyNumberFormat="1" applyFont="1" applyBorder="1" applyAlignment="1">
      <alignment horizontal="center"/>
    </xf>
    <xf numFmtId="0" fontId="15" fillId="2" borderId="8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7" xfId="0" applyFont="1" applyBorder="1" applyAlignment="1">
      <alignment vertical="center"/>
    </xf>
    <xf numFmtId="0" fontId="0" fillId="0" borderId="8" xfId="0" applyBorder="1"/>
    <xf numFmtId="0" fontId="0" fillId="2" borderId="0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3" xfId="0" applyBorder="1"/>
    <xf numFmtId="0" fontId="4" fillId="0" borderId="5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8" xfId="0" applyBorder="1" applyAlignment="1">
      <alignment horizontal="center"/>
    </xf>
    <xf numFmtId="0" fontId="14" fillId="0" borderId="0" xfId="0" applyFont="1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quotePrefix="1" applyBorder="1" applyAlignment="1">
      <alignment vertical="center"/>
    </xf>
    <xf numFmtId="0" fontId="0" fillId="0" borderId="5" xfId="0" applyBorder="1" applyAlignment="1">
      <alignment vertical="center" wrapText="1"/>
    </xf>
    <xf numFmtId="0" fontId="1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4000000}"/>
    <cellStyle name="Result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solidFill>
                <a:srgbClr val="004586"/>
              </a:solidFill>
            </a:ln>
          </c:spPr>
          <c:marker>
            <c:symbol val="square"/>
            <c:size val="7"/>
          </c:marker>
          <c:xVal>
            <c:numRef>
              <c:f>'Zadanie 1'!$A$45:$A$54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2.5</c:v>
                </c:pt>
                <c:pt idx="4">
                  <c:v>2.5</c:v>
                </c:pt>
                <c:pt idx="5">
                  <c:v>3</c:v>
                </c:pt>
                <c:pt idx="6">
                  <c:v>3</c:v>
                </c:pt>
                <c:pt idx="7">
                  <c:v>3.5</c:v>
                </c:pt>
                <c:pt idx="8">
                  <c:v>3.5</c:v>
                </c:pt>
                <c:pt idx="9">
                  <c:v>4</c:v>
                </c:pt>
              </c:numCache>
            </c:numRef>
          </c:xVal>
          <c:yVal>
            <c:numRef>
              <c:f>'Zadanie 1'!$B$45:$B$54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0.16</c:v>
                </c:pt>
                <c:pt idx="3">
                  <c:v>0.16</c:v>
                </c:pt>
                <c:pt idx="4">
                  <c:v>0.56000000000000005</c:v>
                </c:pt>
                <c:pt idx="5">
                  <c:v>0.56000000000000005</c:v>
                </c:pt>
                <c:pt idx="6">
                  <c:v>0.88</c:v>
                </c:pt>
                <c:pt idx="7">
                  <c:v>0.88</c:v>
                </c:pt>
                <c:pt idx="8">
                  <c:v>1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C5-4A6D-8A78-B9514AA75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759896"/>
        <c:axId val="298754976"/>
      </c:scatterChart>
      <c:valAx>
        <c:axId val="2987549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pl-PL"/>
          </a:p>
        </c:txPr>
        <c:crossAx val="298759896"/>
        <c:crossesAt val="0"/>
        <c:crossBetween val="midCat"/>
      </c:valAx>
      <c:valAx>
        <c:axId val="298759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pl-PL"/>
          </a:p>
        </c:txPr>
        <c:crossAx val="298754976"/>
        <c:crossesAt val="0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Wykres słupkowy</a:t>
            </a:r>
            <a:r>
              <a:rPr lang="pl-PL" baseline="0"/>
              <a:t> częstości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'Zadanie 1'!$A$14:$A$20</c:f>
              <c:numCache>
                <c:formatCode>General</c:formatCode>
                <c:ptCount val="7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</c:numCache>
            </c:numRef>
          </c:cat>
          <c:val>
            <c:numRef>
              <c:f>'Zadanie 1'!$B$14:$B$20</c:f>
              <c:numCache>
                <c:formatCode>General</c:formatCode>
                <c:ptCount val="7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A-4342-8CEA-5395CDF82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249872"/>
        <c:axId val="611250200"/>
      </c:barChart>
      <c:catAx>
        <c:axId val="61124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11250200"/>
        <c:crosses val="autoZero"/>
        <c:auto val="1"/>
        <c:lblAlgn val="ctr"/>
        <c:lblOffset val="100"/>
        <c:noMultiLvlLbl val="0"/>
      </c:catAx>
      <c:valAx>
        <c:axId val="61125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11249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Histogram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'Zadanie 2'!$B$57:$B$69</c:f>
              <c:numCache>
                <c:formatCode>General</c:formatCode>
                <c:ptCount val="13"/>
                <c:pt idx="0">
                  <c:v>50</c:v>
                </c:pt>
                <c:pt idx="1">
                  <c:v>50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90</c:v>
                </c:pt>
                <c:pt idx="12">
                  <c:v>90</c:v>
                </c:pt>
              </c:numCache>
            </c:numRef>
          </c:xVal>
          <c:yVal>
            <c:numRef>
              <c:f>'Zadanie 2'!$C$57:$C$69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0</c:v>
                </c:pt>
                <c:pt idx="10">
                  <c:v>15</c:v>
                </c:pt>
                <c:pt idx="11">
                  <c:v>15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00-4536-92E1-9C3139ACE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900568"/>
        <c:axId val="689900896"/>
      </c:scatterChart>
      <c:valAx>
        <c:axId val="689900568"/>
        <c:scaling>
          <c:orientation val="minMax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9900896"/>
        <c:crosses val="autoZero"/>
        <c:crossBetween val="midCat"/>
      </c:valAx>
      <c:valAx>
        <c:axId val="6899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9900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44280</xdr:colOff>
      <xdr:row>23</xdr:row>
      <xdr:rowOff>134280</xdr:rowOff>
    </xdr:from>
    <xdr:ext cx="5753880" cy="3239279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7F5ED13B-75F8-435E-A9D7-1B53F44A37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6</xdr:col>
      <xdr:colOff>43088</xdr:colOff>
      <xdr:row>23</xdr:row>
      <xdr:rowOff>109310</xdr:rowOff>
    </xdr:from>
    <xdr:to>
      <xdr:col>11</xdr:col>
      <xdr:colOff>444500</xdr:colOff>
      <xdr:row>42</xdr:row>
      <xdr:rowOff>99786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47DD0AA7-2755-44BC-984B-FEF3D56E1D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176212</xdr:colOff>
      <xdr:row>55</xdr:row>
      <xdr:rowOff>95250</xdr:rowOff>
    </xdr:from>
    <xdr:to>
      <xdr:col>8</xdr:col>
      <xdr:colOff>52387</xdr:colOff>
      <xdr:row>70</xdr:row>
      <xdr:rowOff>123825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37F80D23-4944-41CC-91DF-1043AC6B42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5"/>
  <sheetViews>
    <sheetView zoomScale="80" zoomScaleNormal="80" workbookViewId="0">
      <selection activeCell="F46" sqref="F46"/>
    </sheetView>
  </sheetViews>
  <sheetFormatPr defaultRowHeight="14.25"/>
  <cols>
    <col min="1" max="1" width="20.625" customWidth="1"/>
    <col min="2" max="3" width="10.75" customWidth="1"/>
    <col min="4" max="4" width="13.375" customWidth="1"/>
    <col min="5" max="5" width="14.5" customWidth="1"/>
    <col min="6" max="6" width="16" customWidth="1"/>
    <col min="7" max="7" width="13.125" customWidth="1"/>
    <col min="8" max="8" width="12.625" customWidth="1"/>
    <col min="9" max="9" width="12.25" customWidth="1"/>
    <col min="10" max="15" width="10.75" customWidth="1"/>
    <col min="16" max="18" width="3.875" customWidth="1"/>
    <col min="19" max="19" width="7.75" customWidth="1"/>
    <col min="20" max="23" width="3.875" customWidth="1"/>
    <col min="24" max="24" width="9.375" customWidth="1"/>
    <col min="25" max="39" width="3.875" customWidth="1"/>
  </cols>
  <sheetData>
    <row r="1" spans="1:39" ht="15">
      <c r="A1" s="1" t="s">
        <v>0</v>
      </c>
    </row>
    <row r="2" spans="1:39" ht="14.25" customHeight="1" thickBot="1">
      <c r="A2" s="2" t="s">
        <v>1</v>
      </c>
      <c r="M2" s="3"/>
      <c r="N2" s="3"/>
      <c r="O2" s="3"/>
      <c r="Q2" s="3"/>
      <c r="R2" s="3"/>
      <c r="S2" s="3"/>
      <c r="T2" s="3"/>
      <c r="U2" s="3"/>
      <c r="V2" s="3"/>
      <c r="W2" s="3"/>
    </row>
    <row r="3" spans="1:39" ht="15">
      <c r="A3" s="2" t="s">
        <v>12</v>
      </c>
      <c r="M3" s="3"/>
      <c r="N3" s="3"/>
      <c r="O3" s="3"/>
      <c r="P3" s="41" t="s">
        <v>67</v>
      </c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3"/>
    </row>
    <row r="4" spans="1:39" ht="15.75" thickBot="1">
      <c r="A4" s="5" t="s">
        <v>2</v>
      </c>
      <c r="M4" s="3"/>
      <c r="N4" s="3"/>
      <c r="O4" s="3"/>
      <c r="P4" s="37">
        <v>3.5</v>
      </c>
      <c r="Q4" s="44">
        <v>4</v>
      </c>
      <c r="R4" s="44">
        <v>3</v>
      </c>
      <c r="S4" s="44">
        <v>3.5</v>
      </c>
      <c r="T4" s="44">
        <v>4.5</v>
      </c>
      <c r="U4" s="44">
        <v>3</v>
      </c>
      <c r="V4" s="44">
        <v>3</v>
      </c>
      <c r="W4" s="44">
        <v>3</v>
      </c>
      <c r="X4" s="38">
        <v>2.5</v>
      </c>
      <c r="Y4" s="38">
        <v>2</v>
      </c>
      <c r="Z4" s="38">
        <v>3.5</v>
      </c>
      <c r="AA4" s="38">
        <v>2</v>
      </c>
      <c r="AB4" s="38">
        <v>2.5</v>
      </c>
      <c r="AC4" s="38">
        <v>3.5</v>
      </c>
      <c r="AD4" s="38">
        <v>4</v>
      </c>
      <c r="AE4" s="38">
        <v>5</v>
      </c>
      <c r="AF4" s="38">
        <v>2.5</v>
      </c>
      <c r="AG4" s="38">
        <v>3</v>
      </c>
      <c r="AH4" s="38">
        <v>2</v>
      </c>
      <c r="AI4" s="38">
        <v>5</v>
      </c>
      <c r="AJ4" s="38">
        <v>4</v>
      </c>
      <c r="AK4" s="38">
        <v>2</v>
      </c>
      <c r="AL4" s="38">
        <v>3</v>
      </c>
      <c r="AM4" s="45">
        <v>3</v>
      </c>
    </row>
    <row r="5" spans="1:39" ht="15.75" thickBot="1">
      <c r="A5" s="2" t="s">
        <v>13</v>
      </c>
      <c r="M5" s="3"/>
      <c r="N5" s="3"/>
      <c r="O5" s="3"/>
      <c r="Q5" s="3"/>
      <c r="R5" s="3"/>
      <c r="S5" s="3"/>
      <c r="T5" s="3"/>
      <c r="U5" s="3"/>
      <c r="V5" s="3"/>
      <c r="W5" s="3"/>
    </row>
    <row r="6" spans="1:39">
      <c r="A6" s="2" t="s">
        <v>3</v>
      </c>
      <c r="M6" s="3"/>
      <c r="N6" s="3"/>
      <c r="O6" s="3"/>
      <c r="P6" s="47"/>
      <c r="Q6" s="48" t="s">
        <v>62</v>
      </c>
      <c r="R6" s="48" t="s">
        <v>60</v>
      </c>
      <c r="S6" s="49"/>
      <c r="T6" s="3"/>
    </row>
    <row r="7" spans="1:39">
      <c r="A7" s="2"/>
      <c r="M7" s="3"/>
      <c r="N7" s="3"/>
      <c r="O7" s="3"/>
      <c r="P7" s="50"/>
      <c r="Q7" s="51">
        <v>1</v>
      </c>
      <c r="R7" s="25">
        <v>2</v>
      </c>
      <c r="S7" s="52">
        <f>(R7-$H$21)^2</f>
        <v>1.5376000000000005</v>
      </c>
      <c r="T7" s="3"/>
    </row>
    <row r="8" spans="1:39">
      <c r="A8" t="s">
        <v>4</v>
      </c>
      <c r="M8" s="3"/>
      <c r="N8" s="3"/>
      <c r="O8" s="3"/>
      <c r="P8" s="50"/>
      <c r="Q8" s="51">
        <f>Q7+1</f>
        <v>2</v>
      </c>
      <c r="R8" s="25">
        <v>2</v>
      </c>
      <c r="S8" s="52">
        <f t="shared" ref="S8:S31" si="0">(R8-$H$21)^2</f>
        <v>1.5376000000000005</v>
      </c>
      <c r="T8" s="3"/>
    </row>
    <row r="9" spans="1:39">
      <c r="M9" s="3"/>
      <c r="N9" s="3"/>
      <c r="O9" s="3"/>
      <c r="P9" s="50"/>
      <c r="Q9" s="51">
        <f t="shared" ref="Q9:Q31" si="1">Q8+1</f>
        <v>3</v>
      </c>
      <c r="R9" s="25">
        <v>2</v>
      </c>
      <c r="S9" s="52">
        <f t="shared" si="0"/>
        <v>1.5376000000000005</v>
      </c>
      <c r="T9" s="3"/>
    </row>
    <row r="10" spans="1:39">
      <c r="L10" s="3"/>
      <c r="M10" s="3"/>
      <c r="N10" s="3"/>
      <c r="O10" s="3"/>
      <c r="P10" s="50"/>
      <c r="Q10" s="51">
        <f t="shared" si="1"/>
        <v>4</v>
      </c>
      <c r="R10" s="25">
        <v>2</v>
      </c>
      <c r="S10" s="52">
        <f t="shared" si="0"/>
        <v>1.5376000000000005</v>
      </c>
      <c r="T10" s="3"/>
    </row>
    <row r="11" spans="1:39" ht="15" thickBot="1">
      <c r="A11" s="14" t="s">
        <v>5</v>
      </c>
      <c r="B11" s="14"/>
      <c r="C11" s="14"/>
      <c r="L11" s="3"/>
      <c r="M11" s="3"/>
      <c r="N11" s="3"/>
      <c r="O11" s="3"/>
      <c r="P11" s="50"/>
      <c r="Q11" s="51">
        <f t="shared" si="1"/>
        <v>5</v>
      </c>
      <c r="R11" s="25">
        <v>2.5</v>
      </c>
      <c r="S11" s="52">
        <f t="shared" si="0"/>
        <v>0.54760000000000031</v>
      </c>
      <c r="T11" s="3"/>
    </row>
    <row r="12" spans="1:39" ht="54.75" customHeight="1">
      <c r="A12" s="15" t="s">
        <v>66</v>
      </c>
      <c r="B12" s="16" t="s">
        <v>6</v>
      </c>
      <c r="C12" s="16" t="s">
        <v>7</v>
      </c>
      <c r="D12" s="17" t="s">
        <v>8</v>
      </c>
      <c r="E12" s="18" t="s">
        <v>9</v>
      </c>
      <c r="F12" s="18" t="s">
        <v>10</v>
      </c>
      <c r="G12" s="18" t="s">
        <v>41</v>
      </c>
      <c r="H12" s="18" t="s">
        <v>42</v>
      </c>
      <c r="I12" s="18" t="s">
        <v>43</v>
      </c>
      <c r="J12" s="18" t="s">
        <v>61</v>
      </c>
      <c r="K12" s="59" t="s">
        <v>44</v>
      </c>
      <c r="L12" s="60"/>
      <c r="M12" s="20"/>
      <c r="N12" s="3"/>
      <c r="O12" s="3"/>
      <c r="P12" s="50"/>
      <c r="Q12" s="51">
        <f t="shared" si="1"/>
        <v>6</v>
      </c>
      <c r="R12" s="25">
        <v>2.5</v>
      </c>
      <c r="S12" s="52">
        <f t="shared" si="0"/>
        <v>0.54760000000000031</v>
      </c>
      <c r="T12" s="3"/>
    </row>
    <row r="13" spans="1:39" s="4" customFormat="1" ht="17.25" customHeight="1">
      <c r="A13" s="21" t="s">
        <v>35</v>
      </c>
      <c r="B13" s="22" t="s">
        <v>36</v>
      </c>
      <c r="C13" s="22" t="s">
        <v>37</v>
      </c>
      <c r="D13" s="23" t="s">
        <v>38</v>
      </c>
      <c r="E13" s="24" t="s">
        <v>39</v>
      </c>
      <c r="F13" s="24" t="s">
        <v>40</v>
      </c>
      <c r="G13" s="25"/>
      <c r="H13" s="25"/>
      <c r="I13" s="25"/>
      <c r="J13" s="25"/>
      <c r="K13" s="53"/>
      <c r="L13" s="61" t="s">
        <v>45</v>
      </c>
      <c r="M13" s="26" t="s">
        <v>46</v>
      </c>
      <c r="N13" s="9"/>
      <c r="O13" s="9"/>
      <c r="P13" s="50"/>
      <c r="Q13" s="51">
        <f t="shared" si="1"/>
        <v>7</v>
      </c>
      <c r="R13" s="25">
        <v>2.5</v>
      </c>
      <c r="S13" s="52">
        <f t="shared" si="0"/>
        <v>0.54760000000000031</v>
      </c>
      <c r="T13" s="9"/>
    </row>
    <row r="14" spans="1:39" ht="15">
      <c r="A14" s="27">
        <v>2</v>
      </c>
      <c r="B14" s="22">
        <v>4</v>
      </c>
      <c r="C14" s="28">
        <f t="shared" ref="C14:C20" si="2">B14/$B$21</f>
        <v>0.16</v>
      </c>
      <c r="D14" s="25">
        <f>B14</f>
        <v>4</v>
      </c>
      <c r="E14" s="28">
        <f>C14</f>
        <v>0.16</v>
      </c>
      <c r="F14" s="29">
        <f t="shared" ref="F14:F20" si="3">D14/$B$21</f>
        <v>0.16</v>
      </c>
      <c r="G14" s="30">
        <f>A14*B14</f>
        <v>8</v>
      </c>
      <c r="H14" s="30">
        <f>A14*C14</f>
        <v>0.32</v>
      </c>
      <c r="I14" s="31"/>
      <c r="J14" s="31"/>
      <c r="K14" s="62"/>
      <c r="L14" s="32">
        <f>(A14-$H$21)^2</f>
        <v>1.5376000000000005</v>
      </c>
      <c r="M14" s="32">
        <f>L14*B14</f>
        <v>6.1504000000000021</v>
      </c>
      <c r="N14" s="3"/>
      <c r="O14" s="3"/>
      <c r="P14" s="50"/>
      <c r="Q14" s="51">
        <f t="shared" si="1"/>
        <v>8</v>
      </c>
      <c r="R14" s="51">
        <v>3</v>
      </c>
      <c r="S14" s="52">
        <f t="shared" si="0"/>
        <v>5.7600000000000103E-2</v>
      </c>
      <c r="T14" s="3"/>
    </row>
    <row r="15" spans="1:39" ht="15">
      <c r="A15" s="27">
        <f t="shared" ref="A15:A20" si="4">A14+0.5</f>
        <v>2.5</v>
      </c>
      <c r="B15" s="22">
        <v>3</v>
      </c>
      <c r="C15" s="28">
        <f t="shared" si="2"/>
        <v>0.12</v>
      </c>
      <c r="D15" s="25">
        <f t="shared" ref="D15:E20" si="5">B15+D14</f>
        <v>7</v>
      </c>
      <c r="E15" s="28">
        <f t="shared" si="5"/>
        <v>0.28000000000000003</v>
      </c>
      <c r="F15" s="29">
        <f t="shared" si="3"/>
        <v>0.28000000000000003</v>
      </c>
      <c r="G15" s="30">
        <f t="shared" ref="G15:G20" si="6">A15*B15</f>
        <v>7.5</v>
      </c>
      <c r="H15" s="30">
        <f t="shared" ref="H15:H20" si="7">A15*C15</f>
        <v>0.3</v>
      </c>
      <c r="I15" s="31"/>
      <c r="J15" s="31"/>
      <c r="K15" s="62"/>
      <c r="L15" s="32">
        <f t="shared" ref="L15:L20" si="8">(A15-$H$21)^2</f>
        <v>0.54760000000000031</v>
      </c>
      <c r="M15" s="32">
        <f t="shared" ref="M15:M20" si="9">L15*B15</f>
        <v>1.6428000000000009</v>
      </c>
      <c r="N15" s="3"/>
      <c r="O15" s="3"/>
      <c r="P15" s="50"/>
      <c r="Q15" s="51">
        <f t="shared" si="1"/>
        <v>9</v>
      </c>
      <c r="R15" s="51">
        <v>3</v>
      </c>
      <c r="S15" s="52">
        <f t="shared" si="0"/>
        <v>5.7600000000000103E-2</v>
      </c>
      <c r="T15" s="3"/>
    </row>
    <row r="16" spans="1:39" ht="15">
      <c r="A16" s="27">
        <f t="shared" si="4"/>
        <v>3</v>
      </c>
      <c r="B16" s="22">
        <v>7</v>
      </c>
      <c r="C16" s="28">
        <f t="shared" si="2"/>
        <v>0.28000000000000003</v>
      </c>
      <c r="D16" s="25">
        <f t="shared" si="5"/>
        <v>14</v>
      </c>
      <c r="E16" s="28">
        <f t="shared" si="5"/>
        <v>0.56000000000000005</v>
      </c>
      <c r="F16" s="29">
        <f t="shared" si="3"/>
        <v>0.56000000000000005</v>
      </c>
      <c r="G16" s="30">
        <f t="shared" si="6"/>
        <v>21</v>
      </c>
      <c r="H16" s="30">
        <f t="shared" si="7"/>
        <v>0.84000000000000008</v>
      </c>
      <c r="I16" s="30">
        <v>3</v>
      </c>
      <c r="J16" s="30">
        <v>3</v>
      </c>
      <c r="K16" s="62"/>
      <c r="L16" s="32">
        <f t="shared" si="8"/>
        <v>5.7600000000000103E-2</v>
      </c>
      <c r="M16" s="32">
        <f t="shared" si="9"/>
        <v>0.40320000000000072</v>
      </c>
      <c r="P16" s="53"/>
      <c r="Q16" s="51">
        <f t="shared" si="1"/>
        <v>10</v>
      </c>
      <c r="R16" s="51">
        <v>3</v>
      </c>
      <c r="S16" s="52">
        <f t="shared" si="0"/>
        <v>5.7600000000000103E-2</v>
      </c>
    </row>
    <row r="17" spans="1:19" ht="15">
      <c r="A17" s="27">
        <f t="shared" si="4"/>
        <v>3.5</v>
      </c>
      <c r="B17" s="22">
        <v>4</v>
      </c>
      <c r="C17" s="28">
        <f t="shared" si="2"/>
        <v>0.16</v>
      </c>
      <c r="D17" s="25">
        <f t="shared" si="5"/>
        <v>18</v>
      </c>
      <c r="E17" s="28">
        <f t="shared" si="5"/>
        <v>0.72000000000000008</v>
      </c>
      <c r="F17" s="29">
        <f t="shared" si="3"/>
        <v>0.72</v>
      </c>
      <c r="G17" s="30">
        <f t="shared" si="6"/>
        <v>14</v>
      </c>
      <c r="H17" s="30">
        <f t="shared" si="7"/>
        <v>0.56000000000000005</v>
      </c>
      <c r="I17" s="31"/>
      <c r="J17" s="31"/>
      <c r="K17" s="62"/>
      <c r="L17" s="32">
        <f t="shared" si="8"/>
        <v>6.7599999999999882E-2</v>
      </c>
      <c r="M17" s="32">
        <f t="shared" si="9"/>
        <v>0.27039999999999953</v>
      </c>
      <c r="P17" s="53"/>
      <c r="Q17" s="51">
        <f t="shared" si="1"/>
        <v>11</v>
      </c>
      <c r="R17" s="51">
        <v>3</v>
      </c>
      <c r="S17" s="52">
        <f t="shared" si="0"/>
        <v>5.7600000000000103E-2</v>
      </c>
    </row>
    <row r="18" spans="1:19" ht="15">
      <c r="A18" s="27">
        <f t="shared" si="4"/>
        <v>4</v>
      </c>
      <c r="B18" s="22">
        <v>4</v>
      </c>
      <c r="C18" s="28">
        <f t="shared" si="2"/>
        <v>0.16</v>
      </c>
      <c r="D18" s="25">
        <f t="shared" si="5"/>
        <v>22</v>
      </c>
      <c r="E18" s="28">
        <f t="shared" si="5"/>
        <v>0.88000000000000012</v>
      </c>
      <c r="F18" s="29">
        <f t="shared" si="3"/>
        <v>0.88</v>
      </c>
      <c r="G18" s="30">
        <f t="shared" si="6"/>
        <v>16</v>
      </c>
      <c r="H18" s="30">
        <f t="shared" si="7"/>
        <v>0.64</v>
      </c>
      <c r="I18" s="31"/>
      <c r="J18" s="31"/>
      <c r="K18" s="62"/>
      <c r="L18" s="32">
        <f t="shared" si="8"/>
        <v>0.57759999999999967</v>
      </c>
      <c r="M18" s="32">
        <f t="shared" si="9"/>
        <v>2.3103999999999987</v>
      </c>
      <c r="P18" s="53"/>
      <c r="Q18" s="51">
        <f t="shared" si="1"/>
        <v>12</v>
      </c>
      <c r="R18" s="25">
        <v>3</v>
      </c>
      <c r="S18" s="52">
        <f t="shared" si="0"/>
        <v>5.7600000000000103E-2</v>
      </c>
    </row>
    <row r="19" spans="1:19" ht="15">
      <c r="A19" s="27">
        <f t="shared" si="4"/>
        <v>4.5</v>
      </c>
      <c r="B19" s="22">
        <v>1</v>
      </c>
      <c r="C19" s="28">
        <f t="shared" si="2"/>
        <v>0.04</v>
      </c>
      <c r="D19" s="25">
        <f t="shared" si="5"/>
        <v>23</v>
      </c>
      <c r="E19" s="28">
        <f t="shared" si="5"/>
        <v>0.92000000000000015</v>
      </c>
      <c r="F19" s="29">
        <f t="shared" si="3"/>
        <v>0.92</v>
      </c>
      <c r="G19" s="30">
        <f t="shared" si="6"/>
        <v>4.5</v>
      </c>
      <c r="H19" s="30">
        <f t="shared" si="7"/>
        <v>0.18</v>
      </c>
      <c r="I19" s="31"/>
      <c r="J19" s="31"/>
      <c r="K19" s="62"/>
      <c r="L19" s="32">
        <f t="shared" si="8"/>
        <v>1.5875999999999995</v>
      </c>
      <c r="M19" s="32">
        <f t="shared" si="9"/>
        <v>1.5875999999999995</v>
      </c>
      <c r="P19" s="53"/>
      <c r="Q19" s="54">
        <f t="shared" si="1"/>
        <v>13</v>
      </c>
      <c r="R19" s="46">
        <v>3</v>
      </c>
      <c r="S19" s="52">
        <f t="shared" si="0"/>
        <v>5.7600000000000103E-2</v>
      </c>
    </row>
    <row r="20" spans="1:19" ht="15">
      <c r="A20" s="27">
        <f t="shared" si="4"/>
        <v>5</v>
      </c>
      <c r="B20" s="22">
        <v>2</v>
      </c>
      <c r="C20" s="28">
        <f t="shared" si="2"/>
        <v>0.08</v>
      </c>
      <c r="D20" s="25">
        <f t="shared" si="5"/>
        <v>25</v>
      </c>
      <c r="E20" s="28">
        <f t="shared" si="5"/>
        <v>1.0000000000000002</v>
      </c>
      <c r="F20" s="29">
        <f t="shared" si="3"/>
        <v>1</v>
      </c>
      <c r="G20" s="30">
        <f t="shared" si="6"/>
        <v>10</v>
      </c>
      <c r="H20" s="30">
        <f t="shared" si="7"/>
        <v>0.4</v>
      </c>
      <c r="I20" s="31"/>
      <c r="J20" s="31"/>
      <c r="K20" s="62"/>
      <c r="L20" s="32">
        <f t="shared" si="8"/>
        <v>3.0975999999999995</v>
      </c>
      <c r="M20" s="32">
        <f t="shared" si="9"/>
        <v>6.1951999999999989</v>
      </c>
      <c r="P20" s="53"/>
      <c r="Q20" s="51">
        <f t="shared" si="1"/>
        <v>14</v>
      </c>
      <c r="R20" s="25">
        <v>3</v>
      </c>
      <c r="S20" s="52">
        <f t="shared" si="0"/>
        <v>5.7600000000000103E-2</v>
      </c>
    </row>
    <row r="21" spans="1:19" ht="15">
      <c r="A21" s="33"/>
      <c r="B21" s="22">
        <f>SUM(B14:B20)</f>
        <v>25</v>
      </c>
      <c r="C21" s="28">
        <f>SUM(C14:C20)</f>
        <v>1.0000000000000002</v>
      </c>
      <c r="D21" s="31"/>
      <c r="E21" s="31"/>
      <c r="F21" s="31"/>
      <c r="G21" s="34">
        <f>SUM(G14:G20)/B21</f>
        <v>3.24</v>
      </c>
      <c r="H21" s="35">
        <f>SUM(H14:H20)</f>
        <v>3.24</v>
      </c>
      <c r="I21" s="31"/>
      <c r="J21" s="31"/>
      <c r="K21" s="62"/>
      <c r="L21" s="63"/>
      <c r="M21" s="36">
        <f>SUM(M14:M20)</f>
        <v>18.559999999999999</v>
      </c>
      <c r="P21" s="53"/>
      <c r="Q21" s="51">
        <f t="shared" si="1"/>
        <v>15</v>
      </c>
      <c r="R21" s="25">
        <v>3.5</v>
      </c>
      <c r="S21" s="52">
        <f t="shared" si="0"/>
        <v>6.7599999999999882E-2</v>
      </c>
    </row>
    <row r="22" spans="1:19" ht="15.75" thickBot="1">
      <c r="A22" s="37"/>
      <c r="B22" s="38"/>
      <c r="C22" s="38"/>
      <c r="D22" s="38"/>
      <c r="E22" s="38"/>
      <c r="F22" s="38"/>
      <c r="G22" s="39">
        <f>G21/B21</f>
        <v>0.12960000000000002</v>
      </c>
      <c r="H22" s="38"/>
      <c r="I22" s="38"/>
      <c r="J22" s="38" t="s">
        <v>64</v>
      </c>
      <c r="K22" s="64">
        <f>_xlfn.VAR.S(R7:R31)</f>
        <v>0.77333333333333343</v>
      </c>
      <c r="L22" s="65" t="s">
        <v>65</v>
      </c>
      <c r="M22" s="40">
        <f>M21/(25-1)</f>
        <v>0.77333333333333332</v>
      </c>
      <c r="P22" s="53"/>
      <c r="Q22" s="51">
        <f t="shared" si="1"/>
        <v>16</v>
      </c>
      <c r="R22" s="51">
        <v>3.5</v>
      </c>
      <c r="S22" s="52">
        <f t="shared" si="0"/>
        <v>6.7599999999999882E-2</v>
      </c>
    </row>
    <row r="23" spans="1:19">
      <c r="P23" s="53"/>
      <c r="Q23" s="51">
        <f t="shared" si="1"/>
        <v>17</v>
      </c>
      <c r="R23" s="25">
        <v>3.5</v>
      </c>
      <c r="S23" s="52">
        <f t="shared" si="0"/>
        <v>6.7599999999999882E-2</v>
      </c>
    </row>
    <row r="24" spans="1:19">
      <c r="P24" s="53"/>
      <c r="Q24" s="51">
        <f t="shared" si="1"/>
        <v>18</v>
      </c>
      <c r="R24" s="25">
        <v>3.5</v>
      </c>
      <c r="S24" s="52">
        <f t="shared" si="0"/>
        <v>6.7599999999999882E-2</v>
      </c>
    </row>
    <row r="25" spans="1:19">
      <c r="P25" s="53"/>
      <c r="Q25" s="51">
        <f t="shared" si="1"/>
        <v>19</v>
      </c>
      <c r="R25" s="51">
        <v>4</v>
      </c>
      <c r="S25" s="52">
        <f t="shared" si="0"/>
        <v>0.57759999999999967</v>
      </c>
    </row>
    <row r="26" spans="1:19">
      <c r="P26" s="53"/>
      <c r="Q26" s="51">
        <f t="shared" si="1"/>
        <v>20</v>
      </c>
      <c r="R26" s="25">
        <v>4</v>
      </c>
      <c r="S26" s="52">
        <f t="shared" si="0"/>
        <v>0.57759999999999967</v>
      </c>
    </row>
    <row r="27" spans="1:19">
      <c r="P27" s="53"/>
      <c r="Q27" s="51">
        <f t="shared" si="1"/>
        <v>21</v>
      </c>
      <c r="R27" s="25">
        <v>4</v>
      </c>
      <c r="S27" s="52">
        <f t="shared" si="0"/>
        <v>0.57759999999999967</v>
      </c>
    </row>
    <row r="28" spans="1:19">
      <c r="P28" s="53"/>
      <c r="Q28" s="51">
        <f t="shared" si="1"/>
        <v>22</v>
      </c>
      <c r="R28" s="25">
        <v>4</v>
      </c>
      <c r="S28" s="52">
        <f t="shared" si="0"/>
        <v>0.57759999999999967</v>
      </c>
    </row>
    <row r="29" spans="1:19">
      <c r="P29" s="53"/>
      <c r="Q29" s="51">
        <f t="shared" si="1"/>
        <v>23</v>
      </c>
      <c r="R29" s="51">
        <v>4.5</v>
      </c>
      <c r="S29" s="52">
        <f t="shared" si="0"/>
        <v>1.5875999999999995</v>
      </c>
    </row>
    <row r="30" spans="1:19">
      <c r="P30" s="53"/>
      <c r="Q30" s="51">
        <f t="shared" si="1"/>
        <v>24</v>
      </c>
      <c r="R30" s="25">
        <v>5</v>
      </c>
      <c r="S30" s="52">
        <f t="shared" si="0"/>
        <v>3.0975999999999995</v>
      </c>
    </row>
    <row r="31" spans="1:19">
      <c r="P31" s="53"/>
      <c r="Q31" s="51">
        <f t="shared" si="1"/>
        <v>25</v>
      </c>
      <c r="R31" s="25">
        <v>5</v>
      </c>
      <c r="S31" s="52">
        <f t="shared" si="0"/>
        <v>3.0975999999999995</v>
      </c>
    </row>
    <row r="32" spans="1:19">
      <c r="P32" s="53"/>
      <c r="Q32" s="25"/>
      <c r="R32" s="25"/>
      <c r="S32" s="52"/>
    </row>
    <row r="33" spans="1:20">
      <c r="P33" s="53" t="s">
        <v>63</v>
      </c>
      <c r="Q33" s="25">
        <v>25</v>
      </c>
      <c r="R33" s="25"/>
      <c r="S33" s="55">
        <f>SUM(S7:S31)</f>
        <v>18.560000000000006</v>
      </c>
    </row>
    <row r="34" spans="1:20" ht="15" thickBot="1">
      <c r="P34" s="56"/>
      <c r="Q34" s="57"/>
      <c r="R34" s="57"/>
      <c r="S34" s="58">
        <f>S33/(25-1)</f>
        <v>0.77333333333333354</v>
      </c>
      <c r="T34" t="s">
        <v>68</v>
      </c>
    </row>
    <row r="45" spans="1:20">
      <c r="A45">
        <v>0</v>
      </c>
      <c r="B45">
        <v>0</v>
      </c>
    </row>
    <row r="46" spans="1:20">
      <c r="A46">
        <v>2</v>
      </c>
      <c r="B46">
        <v>0</v>
      </c>
    </row>
    <row r="47" spans="1:20">
      <c r="A47">
        <v>2</v>
      </c>
      <c r="B47">
        <f>F14</f>
        <v>0.16</v>
      </c>
    </row>
    <row r="48" spans="1:20">
      <c r="A48">
        <f>A46+0.5</f>
        <v>2.5</v>
      </c>
      <c r="B48">
        <f>F14</f>
        <v>0.16</v>
      </c>
    </row>
    <row r="49" spans="1:2">
      <c r="A49">
        <f>A48</f>
        <v>2.5</v>
      </c>
      <c r="B49">
        <f>F16</f>
        <v>0.56000000000000005</v>
      </c>
    </row>
    <row r="50" spans="1:2">
      <c r="A50">
        <f>A48+0.5</f>
        <v>3</v>
      </c>
      <c r="B50">
        <f>F16</f>
        <v>0.56000000000000005</v>
      </c>
    </row>
    <row r="51" spans="1:2">
      <c r="A51">
        <f>A50</f>
        <v>3</v>
      </c>
      <c r="B51">
        <f>F18</f>
        <v>0.88</v>
      </c>
    </row>
    <row r="52" spans="1:2">
      <c r="A52">
        <f>A50+0.5</f>
        <v>3.5</v>
      </c>
      <c r="B52">
        <f>F18</f>
        <v>0.88</v>
      </c>
    </row>
    <row r="53" spans="1:2">
      <c r="A53">
        <f>A52</f>
        <v>3.5</v>
      </c>
      <c r="B53">
        <f>F20</f>
        <v>1</v>
      </c>
    </row>
    <row r="54" spans="1:2">
      <c r="A54">
        <f>A52+0.5</f>
        <v>4</v>
      </c>
      <c r="B54">
        <f>F20</f>
        <v>1</v>
      </c>
    </row>
    <row r="55" spans="1:2">
      <c r="A55">
        <f>A54</f>
        <v>4</v>
      </c>
    </row>
  </sheetData>
  <sortState ref="R7:R31">
    <sortCondition ref="R7"/>
  </sortState>
  <mergeCells count="2">
    <mergeCell ref="A11:C11"/>
    <mergeCell ref="P3:AM3"/>
  </mergeCells>
  <pageMargins left="0" right="0" top="0.39409448818897641" bottom="0.39409448818897641" header="0" footer="0"/>
  <pageSetup paperSize="9" scale="87" orientation="landscape" r:id="rId1"/>
  <headerFooter>
    <oddHeader>&amp;C&amp;A</oddHeader>
    <oddFooter>&amp;CStrona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9"/>
  <sheetViews>
    <sheetView tabSelected="1" topLeftCell="A34" zoomScale="90" zoomScaleNormal="90" workbookViewId="0">
      <selection activeCell="G54" sqref="G54"/>
    </sheetView>
  </sheetViews>
  <sheetFormatPr defaultRowHeight="14.25"/>
  <cols>
    <col min="1" max="1" width="3.875" customWidth="1"/>
    <col min="2" max="2" width="12.625" customWidth="1"/>
    <col min="3" max="3" width="11" customWidth="1"/>
    <col min="5" max="5" width="16.5" customWidth="1"/>
    <col min="6" max="6" width="14.25" customWidth="1"/>
    <col min="7" max="7" width="12.5" customWidth="1"/>
    <col min="8" max="8" width="15.875" customWidth="1"/>
    <col min="9" max="9" width="20" customWidth="1"/>
    <col min="10" max="10" width="15" customWidth="1"/>
    <col min="11" max="11" width="21.25" customWidth="1"/>
  </cols>
  <sheetData>
    <row r="1" spans="1:15">
      <c r="B1" t="s">
        <v>14</v>
      </c>
    </row>
    <row r="2" spans="1:15">
      <c r="B2" t="s">
        <v>15</v>
      </c>
    </row>
    <row r="3" spans="1:15" ht="15">
      <c r="B3" t="s">
        <v>19</v>
      </c>
    </row>
    <row r="4" spans="1:15" ht="15">
      <c r="B4" t="s">
        <v>33</v>
      </c>
    </row>
    <row r="5" spans="1:15">
      <c r="B5" t="s">
        <v>16</v>
      </c>
    </row>
    <row r="7" spans="1:15" ht="15" thickBot="1"/>
    <row r="8" spans="1:15" ht="47.25" customHeight="1">
      <c r="B8" s="67" t="s">
        <v>17</v>
      </c>
      <c r="C8" s="68" t="s">
        <v>18</v>
      </c>
      <c r="D8" s="69"/>
      <c r="E8" s="69"/>
      <c r="F8" s="69"/>
      <c r="G8" s="69" t="s">
        <v>11</v>
      </c>
      <c r="H8" s="69" t="s">
        <v>43</v>
      </c>
      <c r="I8" s="69" t="s">
        <v>49</v>
      </c>
      <c r="J8" s="68" t="s">
        <v>52</v>
      </c>
      <c r="K8" s="70" t="s">
        <v>53</v>
      </c>
    </row>
    <row r="9" spans="1:15" ht="76.5" customHeight="1">
      <c r="B9" s="71"/>
      <c r="C9" s="72"/>
      <c r="D9" s="73"/>
      <c r="E9" s="73"/>
      <c r="F9" s="73"/>
      <c r="G9" s="73"/>
      <c r="H9" s="74" t="s">
        <v>48</v>
      </c>
      <c r="I9" s="73" t="s">
        <v>50</v>
      </c>
      <c r="J9" s="73"/>
      <c r="K9" s="75" t="s">
        <v>54</v>
      </c>
    </row>
    <row r="10" spans="1:15" ht="18.75" customHeight="1">
      <c r="A10">
        <v>1</v>
      </c>
      <c r="B10" s="79">
        <v>83</v>
      </c>
      <c r="C10" s="80">
        <v>52</v>
      </c>
      <c r="D10" s="81"/>
      <c r="E10" s="81"/>
      <c r="F10" s="81"/>
      <c r="G10" s="81"/>
      <c r="H10" s="81"/>
      <c r="I10" s="76">
        <f t="shared" ref="I10:I34" si="0">(C10-$G$35)^2</f>
        <v>680.16639999999995</v>
      </c>
      <c r="J10" s="81"/>
      <c r="K10" s="82"/>
    </row>
    <row r="11" spans="1:15">
      <c r="A11">
        <f>A10+1</f>
        <v>2</v>
      </c>
      <c r="B11" s="79">
        <v>85</v>
      </c>
      <c r="C11" s="80">
        <v>59</v>
      </c>
      <c r="D11" s="81"/>
      <c r="E11" s="81"/>
      <c r="F11" s="81"/>
      <c r="G11" s="81"/>
      <c r="H11" s="83"/>
      <c r="I11" s="76">
        <f t="shared" si="0"/>
        <v>364.04639999999995</v>
      </c>
      <c r="J11" s="83"/>
      <c r="K11" s="84"/>
      <c r="L11" s="11"/>
    </row>
    <row r="12" spans="1:15">
      <c r="A12">
        <f t="shared" ref="A12:A34" si="1">A11+1</f>
        <v>3</v>
      </c>
      <c r="B12" s="79">
        <v>89</v>
      </c>
      <c r="C12" s="80">
        <v>60</v>
      </c>
      <c r="D12" s="81"/>
      <c r="E12" s="81"/>
      <c r="F12" s="81"/>
      <c r="G12" s="81"/>
      <c r="H12" s="83"/>
      <c r="I12" s="76">
        <f t="shared" si="0"/>
        <v>326.88639999999992</v>
      </c>
      <c r="J12" s="83"/>
      <c r="K12" s="84"/>
      <c r="L12" s="11"/>
    </row>
    <row r="13" spans="1:15">
      <c r="A13">
        <f t="shared" si="1"/>
        <v>4</v>
      </c>
      <c r="B13" s="79">
        <v>63</v>
      </c>
      <c r="C13" s="85">
        <v>63</v>
      </c>
      <c r="D13" s="81"/>
      <c r="E13" s="81"/>
      <c r="F13" s="81"/>
      <c r="G13" s="81"/>
      <c r="H13" s="83"/>
      <c r="I13" s="76">
        <f t="shared" si="0"/>
        <v>227.40639999999996</v>
      </c>
      <c r="J13" s="83"/>
      <c r="K13" s="84"/>
      <c r="L13" s="11"/>
    </row>
    <row r="14" spans="1:15">
      <c r="A14">
        <f t="shared" si="1"/>
        <v>5</v>
      </c>
      <c r="B14" s="79">
        <v>75</v>
      </c>
      <c r="C14" s="85">
        <v>65</v>
      </c>
      <c r="D14" s="81"/>
      <c r="E14" s="81"/>
      <c r="F14" s="81"/>
      <c r="G14" s="81"/>
      <c r="H14" s="83"/>
      <c r="I14" s="76">
        <f t="shared" si="0"/>
        <v>171.08639999999997</v>
      </c>
      <c r="J14" s="83"/>
      <c r="K14" s="84"/>
      <c r="L14" s="11"/>
    </row>
    <row r="15" spans="1:15">
      <c r="A15" s="8">
        <f t="shared" si="1"/>
        <v>6</v>
      </c>
      <c r="B15" s="79">
        <v>82</v>
      </c>
      <c r="C15" s="80">
        <v>71</v>
      </c>
      <c r="D15" s="81"/>
      <c r="E15" s="81"/>
      <c r="F15" s="81"/>
      <c r="G15" s="81"/>
      <c r="H15" s="83"/>
      <c r="I15" s="76">
        <f t="shared" si="0"/>
        <v>50.126399999999975</v>
      </c>
      <c r="J15" s="83"/>
      <c r="K15" s="84"/>
      <c r="L15" s="11"/>
    </row>
    <row r="16" spans="1:15">
      <c r="A16" s="8">
        <f t="shared" si="1"/>
        <v>7</v>
      </c>
      <c r="B16" s="79">
        <v>88</v>
      </c>
      <c r="C16" s="80">
        <v>74</v>
      </c>
      <c r="D16" s="81"/>
      <c r="E16" s="81"/>
      <c r="F16" s="81"/>
      <c r="G16" s="81"/>
      <c r="H16" s="83"/>
      <c r="I16" s="76">
        <f t="shared" si="0"/>
        <v>16.646399999999986</v>
      </c>
      <c r="J16" s="83"/>
      <c r="K16" s="86">
        <f>C16</f>
        <v>74</v>
      </c>
      <c r="L16" s="13" t="s">
        <v>57</v>
      </c>
      <c r="M16" s="6">
        <f>QUARTILE($C$10:$C$34,1)</f>
        <v>74</v>
      </c>
      <c r="N16" s="6">
        <f>_xlfn.QUARTILE.EXC($C$10:$C$34,1)</f>
        <v>72.5</v>
      </c>
      <c r="O16" s="6">
        <f>_xlfn.QUARTILE.INC($C$10:$C$34,1)</f>
        <v>74</v>
      </c>
    </row>
    <row r="17" spans="1:15">
      <c r="A17">
        <f t="shared" si="1"/>
        <v>8</v>
      </c>
      <c r="B17" s="79">
        <v>81</v>
      </c>
      <c r="C17" s="80">
        <v>75</v>
      </c>
      <c r="D17" s="81"/>
      <c r="E17" s="81"/>
      <c r="F17" s="81"/>
      <c r="G17" s="81"/>
      <c r="H17" s="83"/>
      <c r="I17" s="76">
        <f t="shared" si="0"/>
        <v>9.4863999999999891</v>
      </c>
      <c r="J17" s="83"/>
      <c r="K17" s="84"/>
      <c r="L17" s="13"/>
      <c r="M17" s="6"/>
      <c r="N17" s="6"/>
      <c r="O17" s="6"/>
    </row>
    <row r="18" spans="1:15">
      <c r="A18">
        <f t="shared" si="1"/>
        <v>9</v>
      </c>
      <c r="B18" s="79">
        <v>65</v>
      </c>
      <c r="C18" s="80">
        <v>78</v>
      </c>
      <c r="D18" s="81"/>
      <c r="E18" s="81"/>
      <c r="F18" s="81"/>
      <c r="G18" s="81"/>
      <c r="H18" s="83"/>
      <c r="I18" s="76">
        <f t="shared" si="0"/>
        <v>6.3999999999997271E-3</v>
      </c>
      <c r="J18" s="83"/>
      <c r="K18" s="84"/>
      <c r="L18" s="13"/>
      <c r="M18" s="6"/>
      <c r="N18" s="6"/>
      <c r="O18" s="6"/>
    </row>
    <row r="19" spans="1:15">
      <c r="A19">
        <f t="shared" si="1"/>
        <v>10</v>
      </c>
      <c r="B19" s="79">
        <v>88</v>
      </c>
      <c r="C19" s="80">
        <v>78</v>
      </c>
      <c r="D19" s="81"/>
      <c r="E19" s="81"/>
      <c r="F19" s="81"/>
      <c r="G19" s="81"/>
      <c r="H19" s="83"/>
      <c r="I19" s="76">
        <f t="shared" si="0"/>
        <v>6.3999999999997271E-3</v>
      </c>
      <c r="J19" s="83"/>
      <c r="K19" s="84"/>
      <c r="L19" s="13"/>
      <c r="M19" s="6"/>
      <c r="N19" s="6"/>
      <c r="O19" s="6"/>
    </row>
    <row r="20" spans="1:15">
      <c r="A20">
        <f t="shared" si="1"/>
        <v>11</v>
      </c>
      <c r="B20" s="79">
        <v>83</v>
      </c>
      <c r="C20" s="85">
        <v>81</v>
      </c>
      <c r="D20" s="81"/>
      <c r="E20" s="81"/>
      <c r="F20" s="81"/>
      <c r="G20" s="81"/>
      <c r="H20" s="83"/>
      <c r="I20" s="76">
        <f t="shared" si="0"/>
        <v>8.5264000000000095</v>
      </c>
      <c r="J20" s="83"/>
      <c r="K20" s="84"/>
      <c r="L20" s="13"/>
      <c r="M20" s="6"/>
      <c r="N20" s="6"/>
      <c r="O20" s="6"/>
    </row>
    <row r="21" spans="1:15">
      <c r="A21" s="8">
        <f t="shared" si="1"/>
        <v>12</v>
      </c>
      <c r="B21" s="79">
        <v>74</v>
      </c>
      <c r="C21" s="85">
        <v>81</v>
      </c>
      <c r="D21" s="81"/>
      <c r="E21" s="81"/>
      <c r="F21" s="81"/>
      <c r="G21" s="81"/>
      <c r="H21" s="83"/>
      <c r="I21" s="76">
        <f t="shared" si="0"/>
        <v>8.5264000000000095</v>
      </c>
      <c r="J21" s="83"/>
      <c r="K21" s="84"/>
      <c r="L21" s="13"/>
      <c r="M21" s="6"/>
      <c r="N21" s="6"/>
      <c r="O21" s="6"/>
    </row>
    <row r="22" spans="1:15">
      <c r="A22" s="8">
        <f t="shared" si="1"/>
        <v>13</v>
      </c>
      <c r="B22" s="79">
        <v>52</v>
      </c>
      <c r="C22" s="85">
        <v>82</v>
      </c>
      <c r="D22" s="81"/>
      <c r="E22" s="81"/>
      <c r="F22" s="81"/>
      <c r="G22" s="81"/>
      <c r="H22" s="83">
        <v>82</v>
      </c>
      <c r="I22" s="76">
        <f t="shared" si="0"/>
        <v>15.366400000000013</v>
      </c>
      <c r="J22" s="83"/>
      <c r="K22" s="86">
        <f>C22</f>
        <v>82</v>
      </c>
      <c r="L22" s="13" t="s">
        <v>69</v>
      </c>
      <c r="M22" s="6">
        <f>QUARTILE($C$10:$C$34,2)</f>
        <v>82</v>
      </c>
      <c r="N22" s="6">
        <f>_xlfn.QUARTILE.EXC($C$10:$C$34,2)</f>
        <v>82</v>
      </c>
      <c r="O22" s="6">
        <f>_xlfn.QUARTILE.INC($C$10:$C$34,2)</f>
        <v>82</v>
      </c>
    </row>
    <row r="23" spans="1:15">
      <c r="A23">
        <f t="shared" si="1"/>
        <v>14</v>
      </c>
      <c r="B23" s="79">
        <v>85</v>
      </c>
      <c r="C23" s="85">
        <v>82</v>
      </c>
      <c r="D23" s="81"/>
      <c r="E23" s="81"/>
      <c r="F23" s="81"/>
      <c r="G23" s="81"/>
      <c r="H23" s="83"/>
      <c r="I23" s="76">
        <f t="shared" si="0"/>
        <v>15.366400000000013</v>
      </c>
      <c r="J23" s="83"/>
      <c r="K23" s="86"/>
      <c r="L23" s="13"/>
      <c r="M23" s="6"/>
      <c r="N23" s="6"/>
      <c r="O23" s="6"/>
    </row>
    <row r="24" spans="1:15">
      <c r="A24">
        <f t="shared" si="1"/>
        <v>15</v>
      </c>
      <c r="B24" s="79">
        <v>71</v>
      </c>
      <c r="C24" s="85">
        <v>83</v>
      </c>
      <c r="D24" s="81"/>
      <c r="E24" s="81"/>
      <c r="F24" s="81"/>
      <c r="G24" s="81"/>
      <c r="H24" s="83"/>
      <c r="I24" s="76">
        <f t="shared" si="0"/>
        <v>24.206400000000016</v>
      </c>
      <c r="J24" s="83"/>
      <c r="K24" s="84"/>
      <c r="L24" s="13"/>
      <c r="M24" s="6"/>
      <c r="N24" s="6"/>
      <c r="O24" s="6"/>
    </row>
    <row r="25" spans="1:15">
      <c r="A25">
        <f t="shared" si="1"/>
        <v>16</v>
      </c>
      <c r="B25" s="79">
        <v>60</v>
      </c>
      <c r="C25" s="85">
        <v>83</v>
      </c>
      <c r="D25" s="81"/>
      <c r="E25" s="81"/>
      <c r="F25" s="81"/>
      <c r="G25" s="81"/>
      <c r="H25" s="83"/>
      <c r="I25" s="76">
        <f t="shared" si="0"/>
        <v>24.206400000000016</v>
      </c>
      <c r="J25" s="83"/>
      <c r="K25" s="84"/>
      <c r="L25" s="13"/>
      <c r="M25" s="6"/>
      <c r="N25" s="6"/>
      <c r="O25" s="6"/>
    </row>
    <row r="26" spans="1:15">
      <c r="A26">
        <f t="shared" si="1"/>
        <v>17</v>
      </c>
      <c r="B26" s="79">
        <v>87</v>
      </c>
      <c r="C26" s="85">
        <v>85</v>
      </c>
      <c r="D26" s="81"/>
      <c r="E26" s="81"/>
      <c r="F26" s="81"/>
      <c r="G26" s="81"/>
      <c r="H26" s="83"/>
      <c r="I26" s="76">
        <f t="shared" si="0"/>
        <v>47.886400000000023</v>
      </c>
      <c r="J26" s="83"/>
      <c r="K26" s="84"/>
      <c r="L26" s="13"/>
      <c r="M26" s="6"/>
      <c r="N26" s="6"/>
      <c r="O26" s="6"/>
    </row>
    <row r="27" spans="1:15">
      <c r="A27" s="8">
        <f t="shared" si="1"/>
        <v>18</v>
      </c>
      <c r="B27" s="79">
        <v>81</v>
      </c>
      <c r="C27" s="85">
        <v>85</v>
      </c>
      <c r="D27" s="81"/>
      <c r="E27" s="81"/>
      <c r="F27" s="81"/>
      <c r="G27" s="81"/>
      <c r="H27" s="83"/>
      <c r="I27" s="76">
        <f t="shared" si="0"/>
        <v>47.886400000000023</v>
      </c>
      <c r="J27" s="83"/>
      <c r="K27" s="84"/>
      <c r="L27" s="13"/>
      <c r="M27" s="6"/>
      <c r="N27" s="6"/>
      <c r="O27" s="6"/>
    </row>
    <row r="28" spans="1:15">
      <c r="A28" s="8">
        <f t="shared" si="1"/>
        <v>19</v>
      </c>
      <c r="B28" s="79">
        <v>88</v>
      </c>
      <c r="C28" s="85">
        <v>86</v>
      </c>
      <c r="D28" s="81"/>
      <c r="E28" s="81"/>
      <c r="F28" s="81"/>
      <c r="G28" s="81"/>
      <c r="H28" s="83"/>
      <c r="I28" s="76">
        <f t="shared" si="0"/>
        <v>62.726400000000027</v>
      </c>
      <c r="J28" s="83"/>
      <c r="K28" s="84">
        <v>86</v>
      </c>
      <c r="L28" s="13"/>
      <c r="M28" s="6"/>
      <c r="N28" s="6"/>
      <c r="O28" s="6"/>
    </row>
    <row r="29" spans="1:15">
      <c r="A29">
        <f t="shared" si="1"/>
        <v>20</v>
      </c>
      <c r="B29" s="79">
        <v>59</v>
      </c>
      <c r="C29" s="85">
        <v>87</v>
      </c>
      <c r="D29" s="81"/>
      <c r="E29" s="81"/>
      <c r="F29" s="81"/>
      <c r="G29" s="81"/>
      <c r="H29" s="83"/>
      <c r="I29" s="76">
        <f t="shared" si="0"/>
        <v>79.56640000000003</v>
      </c>
      <c r="J29" s="83"/>
      <c r="K29" s="86">
        <f>C28</f>
        <v>86</v>
      </c>
      <c r="L29" s="13" t="s">
        <v>58</v>
      </c>
      <c r="M29" s="6">
        <f>QUARTILE($C$10:$C$34,3)</f>
        <v>86</v>
      </c>
      <c r="N29" s="6">
        <f>_xlfn.QUARTILE.EXC($C$10:$C$34,3)</f>
        <v>86.5</v>
      </c>
      <c r="O29" s="6">
        <f>_xlfn.QUARTILE.INC($C$10:$C$34,3)</f>
        <v>86</v>
      </c>
    </row>
    <row r="30" spans="1:15">
      <c r="A30">
        <f t="shared" si="1"/>
        <v>21</v>
      </c>
      <c r="B30" s="79">
        <v>82</v>
      </c>
      <c r="C30" s="85">
        <v>88</v>
      </c>
      <c r="D30" s="81"/>
      <c r="E30" s="81"/>
      <c r="F30" s="81"/>
      <c r="G30" s="81"/>
      <c r="H30" s="83"/>
      <c r="I30" s="76">
        <f t="shared" si="0"/>
        <v>98.406400000000033</v>
      </c>
      <c r="J30" s="83"/>
      <c r="K30" s="84"/>
      <c r="L30" s="10"/>
    </row>
    <row r="31" spans="1:15">
      <c r="A31">
        <f t="shared" si="1"/>
        <v>22</v>
      </c>
      <c r="B31" s="79">
        <v>78</v>
      </c>
      <c r="C31" s="85">
        <v>88</v>
      </c>
      <c r="D31" s="81"/>
      <c r="E31" s="81"/>
      <c r="F31" s="81"/>
      <c r="G31" s="81"/>
      <c r="H31" s="83"/>
      <c r="I31" s="76">
        <f t="shared" si="0"/>
        <v>98.406400000000033</v>
      </c>
      <c r="J31" s="83"/>
      <c r="K31" s="84"/>
      <c r="L31" s="10"/>
    </row>
    <row r="32" spans="1:15">
      <c r="A32">
        <f t="shared" si="1"/>
        <v>23</v>
      </c>
      <c r="B32" s="79">
        <v>86</v>
      </c>
      <c r="C32" s="85">
        <v>88</v>
      </c>
      <c r="D32" s="81"/>
      <c r="E32" s="81"/>
      <c r="F32" s="81"/>
      <c r="G32" s="81"/>
      <c r="H32" s="83"/>
      <c r="I32" s="76">
        <f t="shared" si="0"/>
        <v>98.406400000000033</v>
      </c>
      <c r="J32" s="83"/>
      <c r="K32" s="84"/>
      <c r="L32" s="10"/>
    </row>
    <row r="33" spans="1:16">
      <c r="A33">
        <f t="shared" si="1"/>
        <v>24</v>
      </c>
      <c r="B33" s="79">
        <v>78</v>
      </c>
      <c r="C33" s="85">
        <v>89</v>
      </c>
      <c r="D33" s="81"/>
      <c r="E33" s="81"/>
      <c r="F33" s="81"/>
      <c r="G33" s="81"/>
      <c r="H33" s="83"/>
      <c r="I33" s="76">
        <f t="shared" si="0"/>
        <v>119.24640000000004</v>
      </c>
      <c r="J33" s="83"/>
      <c r="K33" s="84"/>
      <c r="L33" s="10"/>
    </row>
    <row r="34" spans="1:16">
      <c r="A34">
        <f t="shared" si="1"/>
        <v>25</v>
      </c>
      <c r="B34" s="79">
        <v>89</v>
      </c>
      <c r="C34" s="85">
        <v>89</v>
      </c>
      <c r="D34" s="81"/>
      <c r="E34" s="81"/>
      <c r="F34" s="81"/>
      <c r="G34" s="81"/>
      <c r="H34" s="83"/>
      <c r="I34" s="76">
        <f t="shared" si="0"/>
        <v>119.24640000000004</v>
      </c>
      <c r="J34" s="83"/>
      <c r="K34" s="84"/>
      <c r="L34" s="10"/>
    </row>
    <row r="35" spans="1:16" ht="15">
      <c r="B35" s="79"/>
      <c r="C35" s="81"/>
      <c r="D35" s="81"/>
      <c r="E35" s="81"/>
      <c r="F35" s="81" t="s">
        <v>65</v>
      </c>
      <c r="G35" s="77">
        <f>SUM(C10:C34)/C36</f>
        <v>78.08</v>
      </c>
      <c r="H35" s="77">
        <v>82</v>
      </c>
      <c r="I35" s="77">
        <f>SUM(I10:I34)/(C36-1)</f>
        <v>113.07666666666665</v>
      </c>
      <c r="J35" s="77">
        <f>SQRT(I35)</f>
        <v>10.633751297950628</v>
      </c>
      <c r="K35" s="82">
        <f>K29-K16</f>
        <v>12</v>
      </c>
      <c r="L35" s="12" t="s">
        <v>59</v>
      </c>
    </row>
    <row r="36" spans="1:16" ht="15" thickBot="1">
      <c r="B36" s="87" t="s">
        <v>47</v>
      </c>
      <c r="C36" s="88">
        <v>25</v>
      </c>
      <c r="D36" s="78"/>
      <c r="E36" s="78"/>
      <c r="F36" s="78" t="s">
        <v>70</v>
      </c>
      <c r="G36" s="78">
        <f>AVERAGE(C10:C34)</f>
        <v>78.08</v>
      </c>
      <c r="H36" s="78">
        <f>MEDIAN(C10:C34)</f>
        <v>82</v>
      </c>
      <c r="I36" s="78">
        <f>_xlfn.VAR.S(C10:C34)</f>
        <v>113.07666666666653</v>
      </c>
      <c r="J36" s="78">
        <f>_xlfn.STDEV.S(C10:C34)</f>
        <v>10.633751297950621</v>
      </c>
      <c r="K36" s="89"/>
    </row>
    <row r="38" spans="1:16">
      <c r="C38" s="6"/>
    </row>
    <row r="39" spans="1:16" ht="15" thickBot="1"/>
    <row r="40" spans="1:16" ht="15">
      <c r="B40" s="90" t="s">
        <v>32</v>
      </c>
      <c r="C40" s="91"/>
      <c r="D40" s="91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60"/>
    </row>
    <row r="41" spans="1:16" ht="57">
      <c r="B41" s="53"/>
      <c r="C41" s="25" t="s">
        <v>26</v>
      </c>
      <c r="D41" s="25" t="s">
        <v>27</v>
      </c>
      <c r="E41" s="23" t="s">
        <v>29</v>
      </c>
      <c r="F41" s="23" t="s">
        <v>31</v>
      </c>
      <c r="G41" s="25" t="s">
        <v>34</v>
      </c>
      <c r="H41" s="31"/>
      <c r="I41" s="31" t="s">
        <v>56</v>
      </c>
      <c r="J41" s="31"/>
      <c r="K41" s="23" t="s">
        <v>51</v>
      </c>
      <c r="L41" s="31" t="s">
        <v>43</v>
      </c>
      <c r="M41" s="31" t="s">
        <v>43</v>
      </c>
      <c r="N41" s="25" t="s">
        <v>57</v>
      </c>
      <c r="O41" s="25" t="s">
        <v>58</v>
      </c>
      <c r="P41" s="63" t="s">
        <v>59</v>
      </c>
    </row>
    <row r="42" spans="1:16">
      <c r="B42" s="53"/>
      <c r="C42" s="25" t="s">
        <v>24</v>
      </c>
      <c r="D42" s="25" t="s">
        <v>25</v>
      </c>
      <c r="E42" s="31"/>
      <c r="F42" s="31"/>
      <c r="G42" s="31" t="s">
        <v>55</v>
      </c>
      <c r="H42" s="31" t="s">
        <v>46</v>
      </c>
      <c r="I42" s="31" t="s">
        <v>45</v>
      </c>
      <c r="J42" s="31" t="s">
        <v>46</v>
      </c>
      <c r="K42" s="31"/>
      <c r="L42" s="31"/>
      <c r="M42" s="31"/>
      <c r="N42" s="25"/>
      <c r="O42" s="25"/>
      <c r="P42" s="63"/>
    </row>
    <row r="43" spans="1:16">
      <c r="B43" s="53" t="s">
        <v>20</v>
      </c>
      <c r="C43" s="25">
        <v>3</v>
      </c>
      <c r="D43" s="25">
        <f>C43/$C$47</f>
        <v>0.12</v>
      </c>
      <c r="E43" s="25">
        <f>C43</f>
        <v>3</v>
      </c>
      <c r="F43" s="25">
        <f>D43</f>
        <v>0.12</v>
      </c>
      <c r="G43" s="30">
        <v>55</v>
      </c>
      <c r="H43" s="30">
        <f>G43*C43</f>
        <v>165</v>
      </c>
      <c r="I43" s="30">
        <f>(G43-$H$47)^2</f>
        <v>519.83999999999992</v>
      </c>
      <c r="J43" s="66">
        <f>I43*C43</f>
        <v>1559.5199999999998</v>
      </c>
      <c r="K43" s="31"/>
      <c r="L43" s="31"/>
      <c r="M43" s="31"/>
      <c r="N43" s="25"/>
      <c r="O43" s="25"/>
      <c r="P43" s="63"/>
    </row>
    <row r="44" spans="1:16">
      <c r="B44" s="53" t="s">
        <v>21</v>
      </c>
      <c r="C44" s="25">
        <v>2</v>
      </c>
      <c r="D44" s="25">
        <f>C44/$C$47</f>
        <v>0.08</v>
      </c>
      <c r="E44" s="25">
        <f>C44+E43</f>
        <v>5</v>
      </c>
      <c r="F44" s="25">
        <f>D44+F43</f>
        <v>0.2</v>
      </c>
      <c r="G44" s="30">
        <v>65</v>
      </c>
      <c r="H44" s="30">
        <f>G44*C44</f>
        <v>130</v>
      </c>
      <c r="I44" s="30">
        <f t="shared" ref="I44:I46" si="2">(G44-$H$47)^2</f>
        <v>163.83999999999992</v>
      </c>
      <c r="J44" s="66">
        <f t="shared" ref="J44:J46" si="3">I44*C44</f>
        <v>327.67999999999984</v>
      </c>
      <c r="K44" s="31"/>
      <c r="L44" s="31"/>
      <c r="M44" s="31"/>
      <c r="N44" s="25"/>
      <c r="O44" s="25"/>
      <c r="P44" s="63"/>
    </row>
    <row r="45" spans="1:16">
      <c r="B45" s="53" t="s">
        <v>22</v>
      </c>
      <c r="C45" s="25">
        <v>5</v>
      </c>
      <c r="D45" s="25">
        <f>C45/$C$47</f>
        <v>0.2</v>
      </c>
      <c r="E45" s="25">
        <f t="shared" ref="E45:F46" si="4">C45+E44</f>
        <v>10</v>
      </c>
      <c r="F45" s="25">
        <f t="shared" si="4"/>
        <v>0.4</v>
      </c>
      <c r="G45" s="30">
        <v>75</v>
      </c>
      <c r="H45" s="30">
        <f>G45*C45</f>
        <v>375</v>
      </c>
      <c r="I45" s="30">
        <f t="shared" si="2"/>
        <v>7.8399999999999839</v>
      </c>
      <c r="J45" s="66">
        <f t="shared" si="3"/>
        <v>39.199999999999918</v>
      </c>
      <c r="K45" s="31"/>
      <c r="L45" s="31"/>
      <c r="M45" s="31"/>
      <c r="N45" s="25"/>
      <c r="O45" s="25"/>
      <c r="P45" s="63"/>
    </row>
    <row r="46" spans="1:16">
      <c r="B46" s="53" t="s">
        <v>23</v>
      </c>
      <c r="C46" s="25">
        <v>15</v>
      </c>
      <c r="D46" s="25">
        <f>C46/$C$47</f>
        <v>0.6</v>
      </c>
      <c r="E46" s="25">
        <f t="shared" si="4"/>
        <v>25</v>
      </c>
      <c r="F46" s="25">
        <f t="shared" si="4"/>
        <v>1</v>
      </c>
      <c r="G46" s="30">
        <v>85</v>
      </c>
      <c r="H46" s="30">
        <f>G46*C46</f>
        <v>1275</v>
      </c>
      <c r="I46" s="30">
        <f t="shared" si="2"/>
        <v>51.840000000000039</v>
      </c>
      <c r="J46" s="66">
        <f t="shared" si="3"/>
        <v>777.60000000000059</v>
      </c>
      <c r="K46" s="31"/>
      <c r="L46" s="31"/>
      <c r="M46" s="31"/>
      <c r="N46" s="25"/>
      <c r="O46" s="25"/>
      <c r="P46" s="63"/>
    </row>
    <row r="47" spans="1:16" ht="15.75" thickBot="1">
      <c r="B47" s="56"/>
      <c r="C47" s="57">
        <f>SUM(C43:C46)</f>
        <v>25</v>
      </c>
      <c r="D47" s="57">
        <f>C47/$C$47</f>
        <v>1</v>
      </c>
      <c r="E47" s="57" t="s">
        <v>30</v>
      </c>
      <c r="F47" s="57" t="s">
        <v>30</v>
      </c>
      <c r="G47" s="57"/>
      <c r="H47" s="92">
        <f>SUM(H43:H46)/25</f>
        <v>77.8</v>
      </c>
      <c r="I47" s="57"/>
      <c r="J47" s="92">
        <f>SUM(J43:J46)/(25-1)</f>
        <v>112.66666666666667</v>
      </c>
      <c r="K47" s="38">
        <f>SQRT(J47)</f>
        <v>10.614455552060438</v>
      </c>
      <c r="L47" s="38">
        <f>80+(25/2-10)*(10/15)</f>
        <v>81.666666666666671</v>
      </c>
      <c r="M47" s="38">
        <f>80+(0.5-0.4)*(10/D46)</f>
        <v>81.666666666666671</v>
      </c>
      <c r="N47" s="57">
        <f>70+(0.25-0.2)*(10/0.2)</f>
        <v>72.5</v>
      </c>
      <c r="O47" s="57">
        <f>80+(0.75-0.4)*(10/0.6)</f>
        <v>85.833333333333329</v>
      </c>
      <c r="P47" s="45">
        <f>O47-N47</f>
        <v>13.333333333333329</v>
      </c>
    </row>
    <row r="49" spans="2:5">
      <c r="B49" s="7" t="s">
        <v>28</v>
      </c>
      <c r="E49">
        <v>10</v>
      </c>
    </row>
    <row r="57" spans="2:5">
      <c r="B57">
        <v>50</v>
      </c>
      <c r="C57">
        <v>0</v>
      </c>
    </row>
    <row r="58" spans="2:5">
      <c r="B58">
        <v>50</v>
      </c>
      <c r="C58">
        <v>3</v>
      </c>
    </row>
    <row r="59" spans="2:5">
      <c r="B59">
        <v>60</v>
      </c>
      <c r="C59">
        <v>3</v>
      </c>
    </row>
    <row r="60" spans="2:5">
      <c r="B60">
        <v>60</v>
      </c>
      <c r="C60">
        <v>0</v>
      </c>
    </row>
    <row r="61" spans="2:5">
      <c r="B61">
        <v>60</v>
      </c>
      <c r="C61">
        <v>2</v>
      </c>
    </row>
    <row r="62" spans="2:5">
      <c r="B62">
        <v>70</v>
      </c>
      <c r="C62">
        <v>2</v>
      </c>
    </row>
    <row r="63" spans="2:5">
      <c r="B63">
        <v>70</v>
      </c>
      <c r="C63">
        <v>0</v>
      </c>
    </row>
    <row r="64" spans="2:5">
      <c r="B64">
        <f>B63</f>
        <v>70</v>
      </c>
      <c r="C64">
        <v>5</v>
      </c>
    </row>
    <row r="65" spans="2:3">
      <c r="B65">
        <v>80</v>
      </c>
      <c r="C65">
        <v>5</v>
      </c>
    </row>
    <row r="66" spans="2:3">
      <c r="B66">
        <f>B64+10</f>
        <v>80</v>
      </c>
      <c r="C66">
        <v>0</v>
      </c>
    </row>
    <row r="67" spans="2:3">
      <c r="B67">
        <f>B66</f>
        <v>80</v>
      </c>
      <c r="C67">
        <v>15</v>
      </c>
    </row>
    <row r="68" spans="2:3">
      <c r="B68">
        <f>B67+10</f>
        <v>90</v>
      </c>
      <c r="C68">
        <v>15</v>
      </c>
    </row>
    <row r="69" spans="2:3">
      <c r="B69">
        <v>90</v>
      </c>
      <c r="C69">
        <v>0</v>
      </c>
    </row>
  </sheetData>
  <sortState ref="C10:C34">
    <sortCondition ref="C10"/>
  </sortState>
  <mergeCells count="1">
    <mergeCell ref="B40:D40"/>
  </mergeCells>
  <pageMargins left="0" right="0" top="0.39409448818897641" bottom="0.39409448818897641" header="0" footer="0"/>
  <pageSetup paperSize="9" scale="77" orientation="portrait" horizontalDpi="4294967295" verticalDpi="4294967295" r:id="rId1"/>
  <headerFooter>
    <oddHeader>&amp;C&amp;A</oddHeader>
    <oddFooter>&amp;CStrona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</dc:creator>
  <cp:lastModifiedBy>Admin</cp:lastModifiedBy>
  <cp:revision>5</cp:revision>
  <cp:lastPrinted>2021-10-08T18:10:19Z</cp:lastPrinted>
  <dcterms:created xsi:type="dcterms:W3CDTF">2021-07-31T15:55:30Z</dcterms:created>
  <dcterms:modified xsi:type="dcterms:W3CDTF">2021-11-02T08:11:17Z</dcterms:modified>
</cp:coreProperties>
</file>